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X:\TEHIK\Tervise talitus\Tervisekassa aruandlus\"/>
    </mc:Choice>
  </mc:AlternateContent>
  <xr:revisionPtr revIDLastSave="0" documentId="8_{DCAD6467-F8F6-4245-BD37-21333EAE979D}" xr6:coauthVersionLast="47" xr6:coauthVersionMax="47" xr10:uidLastSave="{00000000-0000-0000-0000-000000000000}"/>
  <bookViews>
    <workbookView xWindow="-108" yWindow="-108" windowWidth="30936" windowHeight="16896" xr2:uid="{00000000-000D-0000-FFFF-FFFF00000000}"/>
  </bookViews>
  <sheets>
    <sheet name="Koond" sheetId="8" r:id="rId1"/>
    <sheet name="Arendusprojektid" sheetId="7" r:id="rId2"/>
    <sheet name="upTIS 2023" sheetId="4" r:id="rId3"/>
    <sheet name="TIS 2023" sheetId="5" r:id="rId4"/>
  </sheets>
  <definedNames>
    <definedName name="_xlnm._FilterDatabase" localSheetId="3" hidden="1">'TIS 2023'!$A$2:$L$12</definedName>
    <definedName name="_xlnm._FilterDatabase" localSheetId="2" hidden="1">'upTIS 2023'!$A$2:$H$32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8" l="1"/>
  <c r="D5" i="5"/>
  <c r="D3" i="5"/>
  <c r="H12" i="5"/>
  <c r="I10" i="5" l="1"/>
  <c r="G16" i="7"/>
  <c r="H16" i="7"/>
  <c r="H15" i="7"/>
  <c r="H14" i="7"/>
  <c r="H3" i="7"/>
  <c r="H4" i="7"/>
  <c r="H5" i="7"/>
  <c r="H6" i="7"/>
  <c r="H8" i="7"/>
  <c r="G10" i="7"/>
  <c r="H7" i="7"/>
  <c r="H10" i="7" l="1"/>
  <c r="C13" i="8"/>
  <c r="G12" i="5" l="1"/>
  <c r="E15" i="7"/>
  <c r="E14" i="7"/>
  <c r="E10" i="7" l="1"/>
  <c r="I7" i="5" l="1"/>
  <c r="I12" i="5" s="1"/>
  <c r="I20" i="4"/>
  <c r="I19" i="4"/>
  <c r="I14" i="4"/>
  <c r="I31" i="4" s="1"/>
  <c r="F16" i="4"/>
  <c r="F11" i="4"/>
  <c r="F10" i="5"/>
  <c r="D10" i="5" s="1"/>
  <c r="J10" i="5" s="1"/>
  <c r="F5" i="5"/>
  <c r="J5" i="5" s="1"/>
  <c r="F9" i="5"/>
  <c r="D9" i="5" s="1"/>
  <c r="J9" i="5" s="1"/>
  <c r="E12" i="5"/>
  <c r="D4" i="5"/>
  <c r="J4" i="5" s="1"/>
  <c r="D6" i="5"/>
  <c r="J6" i="5" s="1"/>
  <c r="D7" i="5"/>
  <c r="H7" i="5" s="1"/>
  <c r="D8" i="5"/>
  <c r="D11" i="5"/>
  <c r="J11" i="5" s="1"/>
  <c r="J3" i="5"/>
  <c r="D5" i="4"/>
  <c r="J5" i="4" s="1"/>
  <c r="F8" i="4"/>
  <c r="H3" i="5" l="1"/>
  <c r="J8" i="5"/>
  <c r="H8" i="5"/>
  <c r="J7" i="5"/>
  <c r="H9" i="5"/>
  <c r="G31" i="4"/>
  <c r="H10" i="5"/>
  <c r="J12" i="5"/>
  <c r="F12" i="5"/>
  <c r="F25" i="4" l="1"/>
  <c r="D25" i="4" s="1"/>
  <c r="J25" i="4" s="1"/>
  <c r="F23" i="4"/>
  <c r="D23" i="4" s="1"/>
  <c r="J23" i="4" s="1"/>
  <c r="F10" i="4"/>
  <c r="F31" i="4" s="1"/>
  <c r="D8" i="4"/>
  <c r="J8" i="4" s="1"/>
  <c r="E31" i="4"/>
  <c r="D4" i="4"/>
  <c r="J4" i="4" s="1"/>
  <c r="D6" i="4"/>
  <c r="D7" i="4"/>
  <c r="J7" i="4" s="1"/>
  <c r="D9" i="4"/>
  <c r="J9" i="4" s="1"/>
  <c r="D11" i="4"/>
  <c r="J11" i="4" s="1"/>
  <c r="D12" i="4"/>
  <c r="J12" i="4" s="1"/>
  <c r="D13" i="4"/>
  <c r="J13" i="4" s="1"/>
  <c r="D14" i="4"/>
  <c r="J14" i="4" s="1"/>
  <c r="D15" i="4"/>
  <c r="J15" i="4" s="1"/>
  <c r="D16" i="4"/>
  <c r="J16" i="4" s="1"/>
  <c r="D17" i="4"/>
  <c r="J17" i="4" s="1"/>
  <c r="D18" i="4"/>
  <c r="J18" i="4" s="1"/>
  <c r="D19" i="4"/>
  <c r="J19" i="4" s="1"/>
  <c r="D20" i="4"/>
  <c r="J20" i="4" s="1"/>
  <c r="D21" i="4"/>
  <c r="J21" i="4" s="1"/>
  <c r="D22" i="4"/>
  <c r="J22" i="4" s="1"/>
  <c r="D24" i="4"/>
  <c r="J24" i="4" s="1"/>
  <c r="D26" i="4"/>
  <c r="J26" i="4" s="1"/>
  <c r="D27" i="4"/>
  <c r="J27" i="4" s="1"/>
  <c r="D28" i="4"/>
  <c r="J28" i="4" s="1"/>
  <c r="D30" i="4"/>
  <c r="D3" i="4"/>
  <c r="J3" i="4" s="1"/>
  <c r="H30" i="4" l="1"/>
  <c r="J30" i="4"/>
  <c r="H6" i="4"/>
  <c r="J6" i="4"/>
  <c r="D10" i="4"/>
  <c r="J10" i="4" s="1"/>
  <c r="J31" i="4" l="1"/>
  <c r="D31" i="4"/>
  <c r="B5" i="8" s="1"/>
  <c r="D12" i="5"/>
  <c r="B4" i="8" s="1"/>
  <c r="C4" i="8"/>
  <c r="C5" i="8"/>
  <c r="D4" i="8" l="1"/>
  <c r="E4" i="8"/>
  <c r="E5" i="8"/>
  <c r="D5" i="8"/>
  <c r="C2" i="8"/>
  <c r="D10" i="7"/>
  <c r="B2" i="8" s="1"/>
  <c r="D16" i="7"/>
  <c r="B3" i="8" s="1"/>
  <c r="F14" i="7"/>
  <c r="F7" i="7"/>
  <c r="F6" i="7"/>
  <c r="F5" i="7"/>
  <c r="F4" i="7"/>
  <c r="F8" i="7"/>
  <c r="F3" i="7"/>
  <c r="B6" i="8" l="1"/>
  <c r="F10" i="7"/>
  <c r="E2" i="8"/>
  <c r="D2" i="8"/>
  <c r="E16" i="7"/>
  <c r="C3" i="8" s="1"/>
  <c r="C6" i="8" s="1"/>
  <c r="C11" i="8" s="1"/>
  <c r="C15" i="8" l="1"/>
  <c r="E6" i="8"/>
  <c r="E3" i="8"/>
  <c r="D3" i="8"/>
  <c r="D6" i="8" s="1"/>
  <c r="H23" i="4"/>
  <c r="H4" i="4" l="1"/>
  <c r="H5" i="4"/>
  <c r="H7" i="4"/>
  <c r="H8" i="4"/>
  <c r="H9" i="4"/>
  <c r="H10" i="4"/>
  <c r="H11" i="4"/>
  <c r="H12" i="4"/>
  <c r="H13" i="4"/>
  <c r="H14" i="4"/>
  <c r="H15" i="4"/>
  <c r="H16" i="4"/>
  <c r="H17" i="4"/>
  <c r="H18" i="4"/>
  <c r="H19" i="4"/>
  <c r="H20" i="4"/>
  <c r="H21" i="4"/>
  <c r="H22" i="4"/>
  <c r="H24" i="4"/>
  <c r="H25" i="4"/>
  <c r="H26" i="4"/>
  <c r="H27" i="4"/>
  <c r="H28" i="4"/>
  <c r="H3" i="4"/>
  <c r="F15" i="7"/>
  <c r="H11" i="5"/>
  <c r="H4" i="5"/>
  <c r="H5" i="5"/>
  <c r="H6" i="5"/>
  <c r="H31" i="4" l="1"/>
  <c r="F16" i="7"/>
</calcChain>
</file>

<file path=xl/sharedStrings.xml><?xml version="1.0" encoding="utf-8"?>
<sst xmlns="http://schemas.openxmlformats.org/spreadsheetml/2006/main" count="241" uniqueCount="202">
  <si>
    <t>uus eKiirabi</t>
  </si>
  <si>
    <t>Ravimiskeem</t>
  </si>
  <si>
    <t>Kristiina Kauer</t>
  </si>
  <si>
    <t>Kodulähedased analüüsid</t>
  </si>
  <si>
    <t>Haiglaravimite digitaliseerimine</t>
  </si>
  <si>
    <t>Digiregistratuuri UX/UI uuendamine</t>
  </si>
  <si>
    <t>Bensodiasepiinide e-konsultatsiooni arendus (50 000 - 300 000)</t>
  </si>
  <si>
    <t>Meelis Tivas</t>
  </si>
  <si>
    <t>Kokku</t>
  </si>
  <si>
    <t>eKonsultatsioon</t>
  </si>
  <si>
    <t>Arendusprojektid:</t>
  </si>
  <si>
    <t>digiregistratuur</t>
  </si>
  <si>
    <t>Tootehaldus:</t>
  </si>
  <si>
    <t>TIS:</t>
  </si>
  <si>
    <t>upTIS:</t>
  </si>
  <si>
    <t>TP</t>
  </si>
  <si>
    <t>Tööplaani rea nimetus</t>
  </si>
  <si>
    <t>Selgitused</t>
  </si>
  <si>
    <t>PROJ-2879</t>
  </si>
  <si>
    <t>Ühtse patsiendiregistri arendustööd (upTIS platvormitööd)</t>
  </si>
  <si>
    <t>Ühtse patsiendiregistri loomine, mille tulemusena tekib tervisevaldkonnas ühtne patsiendi üldandmestik. Patsiendiregister võetakse kasutusele tervise infosüsteemi ja tervise infosüsteemiga seotud lahenduste (nt terviseportaal) poolt ning samamoodi on ootus, et patsiendiregister võetaks kasutusele tervishoiuasutuste poolt, et patsiendi üldandmeid ei peaks enam mitmes eri andmekoosseisus tervisevaldkonnas hoidma. Lisaks tekib võimalus olla patsiendi üldandmete osas andmeandjaks rahvastikuregistrile. Töödega alustati 2022. aastal ning tööd kestavad kuni 2023. aasta keskpaigani</t>
  </si>
  <si>
    <t>PROJ-2880</t>
  </si>
  <si>
    <t>Pildipanga ja Retseptikeskuse integratsioon ning pub-keskuse andmete kasutus uuel platvormil (upTIS platvormitööd)</t>
  </si>
  <si>
    <t>Tööde tulemusena kirjutatakse upTIS mikroteenuste platvormile webMethods pealt ümber pildipanga ja retseptikeskuse integratsioonitööd ning Publitseerimiskeskuse andmete kasutus (terminoloogia). Tööde eesmärgiks on viia funktsioonid paremini skaleeruva töökindla platvormi peale. Tööd kestavad 2023. aasta algusest kuni aasta lõpuni (eraldi konkursid), eelarve jaguneb: Pildipank: 50 000€; retsept:  75 000€, pub: 25 000€.</t>
  </si>
  <si>
    <t>PROJ-2921</t>
  </si>
  <si>
    <t>Dokumendi väljavõtete üleviimine uuele platvormile (upTIS platvormitööd)</t>
  </si>
  <si>
    <t>Dokumentide väljavõtete (DAINDocumentAnalysis webMethods pakett) ümber kirjutamine upTIS platvormil mikroteenustena. Vastav pakett vastutab selle eest, et dokumendi väljavõtte päringute ja aegkriitiliste andmete päringu jaoks saaksid vajalikud terviseandmete väljavõtted kättesaadavaks. Tööd kestavad 2023. aasta keskpaigast kuni aasta lõpuni</t>
  </si>
  <si>
    <t>PROJ-2922</t>
  </si>
  <si>
    <t>Aegkriitiliste andmete teenuse üleviimine uuele platvormile (upTIS platvormitööd)</t>
  </si>
  <si>
    <t>Aegkriitiliste andmete teenuse üleviimine webMethods platvormilt upTIS mikroteenuste platvormile. Töödega alustatakse 2022. aastal ning tööd kestavad kuni 2023. aasta keskpaigani</t>
  </si>
  <si>
    <t>PROJ-2923</t>
  </si>
  <si>
    <t>Tervisetõendite funktsionaalsuse üleviimine uuele platvormile</t>
  </si>
  <si>
    <t>Tervisetõendite funktsionaalsuse üleviimine webMethods platvormilt upTIS mikroteenuste platvormile. Töödega alustatakse 2022. aastal ning tööd kestavad kuni 2023. aasta lõpuni</t>
  </si>
  <si>
    <t>PROJ-2924</t>
  </si>
  <si>
    <t xml:space="preserve">Uue põlvkonna tervise infosüsteemi platvormi täiendavad arendusvajadused </t>
  </si>
  <si>
    <t>upTIS platvormi arendustööd hõlmavad endas palju ettenägematuid asjaolusid, millele peab olema võimekus jooksvalt reageerida. Reageerimisviisiks on väiksemate täiendustööde tegemine, proof-of-concept stiilis katsetused vm. Ettenägematute asjaolude jaoks peab olema puhver, mis võimaldab agiilselt tööde teostamisele läheneda.</t>
  </si>
  <si>
    <t>PROJ-2946</t>
  </si>
  <si>
    <t>Uue põlvkonna tervise infosüsteemi platvormitööde turvatestimine</t>
  </si>
  <si>
    <t>2023. aastal viiakse läbi mitmeid upTIS platvormi arendustöid. Enne arendustööde tootestamist tuleb viia läbi turvatestid veendumaks loodud lahenduste turvalisuses. Turvatestid võivad hõlmata ka varasemalt tehtud platvormitöid, mis on seni olnud tootestamise ootel</t>
  </si>
  <si>
    <t>PROJ-2947</t>
  </si>
  <si>
    <t>Üle toodud - LIVEga võrdväärse tervise infosüsteemi testandmestiku loomine koormustestide läbiviimiseks</t>
  </si>
  <si>
    <t>Töö eesmärk on luua tervise infosüsteemi LIVE andmebaasiga võrdväärne testandmestik, mida saame kasutada tervise infosüsteemiga seotud koormustestideks ja funktsionaalseteks testideks ning mis on esimene alustala upTIS raames hästi funktsioneeriva testimise sandboxi loomiseks. Eelanalüüsiga on alustatud 2022. aastal alustatud. Töö jätkub 2023. aastal kuni aasta keskpaigani.</t>
  </si>
  <si>
    <t>PROJ-2948</t>
  </si>
  <si>
    <t>FHIR klient-teenuste analüüs</t>
  </si>
  <si>
    <t>Analüüsi eesmärgiks on tagada parem ülevaade tervisevaldkonna ökosüsteemi vaates võimalikest probleemkohtadest ja neid adresseerivatest potentsiaalsetest lahendustest, mis aitavad sündmuspõhise andmevahetuse raames kaasa parema koostalitusvõime saavutamisele</t>
  </si>
  <si>
    <t>PROJ-2950</t>
  </si>
  <si>
    <t>E-tervise valdkonna sihtarhitektuuri väljatöötamine ja tugi rakendamiseks</t>
  </si>
  <si>
    <t>Tegevus e-tervise valdkonna sihtarhitektuuri väljatöötamiseks ja toe pakkumine selle rakendamiseks. Vajalik arvestada TalTech ja Cybernetica liikmete töötasuga, sh hilisema konsultatsiooniga</t>
  </si>
  <si>
    <t>PROJ-2951</t>
  </si>
  <si>
    <t>Terviseportaali logipäringute viimine andmejälgija liidese peale</t>
  </si>
  <si>
    <t>Peale terviseandmete migreerimist uuele platvormile on vaja panna terviseportaal suhtlema uue audit teenusega (saab logikirjed uuest andmebaasist), sh logid peavad olema andmejälgijaga ühilduvad. Seotud platvormi arendustöödega (töö eelduseks on olemasolevate andmete migratsioon)</t>
  </si>
  <si>
    <t>PROJ-2952</t>
  </si>
  <si>
    <t>Otsusetoe andmekoonduri arendus seoses TIS dokumentide viimisega uuele platvormile</t>
  </si>
  <si>
    <t xml:space="preserve">Peale terviseandmete migreerimist uuele platvormile on vaja tagada, et otsusetoe andmekoondur oskaks uuest andmebaasist andmeid lugeda. Seotud platvormi arendustöödega (töö eelduseks on olemasolevate andmete migratsioon) </t>
  </si>
  <si>
    <t>PROJ-2953</t>
  </si>
  <si>
    <t>Tervise infosüsteemi nõusolekuteenuse jätkuarendused 2023</t>
  </si>
  <si>
    <t>Töö eesmärgiks on tagada, et oleksime TISi poolel valmis võimalikeks lisaarendustöödeks, mis võivad tekkida kolmandate osapoolte uutest andmepäringute soovidest. Töö on mõeldud peale õigusruumi jõustumist täiendavate andmepäringute loomiseks</t>
  </si>
  <si>
    <t>PROJ-2955</t>
  </si>
  <si>
    <t>FHIR serveri kasutuselevõtmine sündmuspõhise andmevahetuse toetamiseks</t>
  </si>
  <si>
    <t>FHIR serveri kasutuselevõtmine, mis hakkab toetama granulaarsemat sündmuspõhist andmevahetusmudelit. FHIR server peab võimaldama terviseandmeid vastu võtta ja päringutele vastata, FHIR server peab võimaldama terviseandmeid eraldada (nt eraldada patsiendi, tervise ja administratiivsed andmed) jm nõuded. Tuleb tagada, et FHIR server vastaks TEHIK MFN nõuetele</t>
  </si>
  <si>
    <t>PROJ-2956</t>
  </si>
  <si>
    <t>Sündmuspõhise andmevahetuse jaoks andmekvaliteedi kontrollide mehhanismi tööle rakendamine</t>
  </si>
  <si>
    <t>Uute andmeedastusteenuste loomisel tuleb koheselt pöörata palju tähelepanu andmekvaliteedi kontrollidele, et minimeerida kehva kvaliteediga terviseandmete vastu võtmist. FHIRil baseeruva sündmuspõhise andmevahetuse korral tuleb mõelda läbi andmekvaliteedi kontrollide loogika ning tagada vajalikud mehhanismid kontrollide rakendamiseks</t>
  </si>
  <si>
    <t>PROJ-2957</t>
  </si>
  <si>
    <t>Granulaarsemate ligipääsuõiguste realiseerimine sündmuspõhise andmevahetuse toetamiseks</t>
  </si>
  <si>
    <t>Dokumendipõhiselt maailmalt üleminekul sündmuspõhisele maailmale ei sobi enam ka senine dokumendipõhine ligipääsuõiguste loogika. Ligipääsuõiguste loogika peab muutuma granulaarsemaks ning selle jaoks on läbiviimisel äriline analüüs, mis ütleb ette ligipääsuõiguste granulaarsuse taseme. Sündmuspõhise andmevahetuse toetamiseks on vajalik teha arendustööd granulaarsemate rollide ja õiguste loogika läbitöötamiseks ja sellega seotud kontrollide mehhanismi rakendamiseks. (Hindasime arhitektidega antud tööga seotud ressursivajaduse uuesti üle.)</t>
  </si>
  <si>
    <t>PROJ-2958</t>
  </si>
  <si>
    <t>Üle toodud - Sündmuspõhise andmevahetuse tööde turvatestimine</t>
  </si>
  <si>
    <t>Sündmuspõhise andmevahetusega seotud lahenduste (FHIR server, andmete kvaliteedikontrollide mehhanism, ligipääsuõiguste loogika) turvatestimine.</t>
  </si>
  <si>
    <t>PROJ-3015</t>
  </si>
  <si>
    <t>FHIR põhiste andmete kasutamine üle X-tee &amp; sõnumiruumi rakendamine (POC)</t>
  </si>
  <si>
    <t>FHIR töötab hästi keskkonnas, kus on võimalik FHIR serveritel otse omavahel suhelda. Eestis käib terviseandmete vahetamine üle X-Tee. Sellest tulenevalt on tuvastanud teatud probleemsed kohad, millele tuleb proof-of-concept stiilis otsida vastuseid</t>
  </si>
  <si>
    <t>PROJ-3014</t>
  </si>
  <si>
    <t>FHIR-CDA/V3 mäppimine 2023</t>
  </si>
  <si>
    <t>Seoses HL7 FHIR standardil baseeruvale andmevahetusele üleminekuga vajalik tagada uute FHIR sõnumite ühildumise TIS koostatavate päringu vastuste CDA/V3 standardil baseeruvate sõnumitega. Tehniliste andmeelementide mäppimine ehk vastandamine.  Lisaks vajame analüüsi, kuidas mäppinguid hallata.</t>
  </si>
  <si>
    <t>PROJ-2941</t>
  </si>
  <si>
    <t>Teabekeskuse arendused 2023</t>
  </si>
  <si>
    <t>Ideetaotlused esitatud:
Loendite haldusmoodul– summas 100 000 eurot;
Unikaalsete idendifikaatorite haldusmoodul – 100 000 eurot
Automaatse sisu genereerimise võimekus – summas 50 000 eurot
Töövahend infomudelite loomeks, halduseks ja publitseerimiseks –  summas 50 000 eurot</t>
  </si>
  <si>
    <t>PROJ- 2942</t>
  </si>
  <si>
    <t>Teabekeskus: Andmekirjelduskeskkonna haldus 2023</t>
  </si>
  <si>
    <t>Toodangusse jõuab jaanuar 2023 ja alates sellest on lahendus jooksvalt kasutusel ja vajab väikeseid täiendusi, uuendusi, parandusi.</t>
  </si>
  <si>
    <t>PROJ- 2943</t>
  </si>
  <si>
    <t>Andmekontrollimooduli haldus 2023</t>
  </si>
  <si>
    <t>Toodangusse jõuab veebruar 2023, täiendatud on blokeerimisevõimalusega, mis teeb andmekontrollimooduli erilisemaks kui tänane seire- ja valideerimisemoodul</t>
  </si>
  <si>
    <t>PROJ-2944</t>
  </si>
  <si>
    <t>Teabekeskus: Terminoloogiaserveri litsentsi uuendus ja haldus 2023</t>
  </si>
  <si>
    <t>Uuendame terminoloogiaserveri litsentsi järgnevaks 3ks aastaks, mistõttu on ka summa suurem. Samuti on vajalikud mõned liidestused avaldamise keskkonnaga, teabe publitseerimiseks.</t>
  </si>
  <si>
    <t>PROJ- 2945</t>
  </si>
  <si>
    <t>Teabekeskus: avaldamise keskkonna haldus 2023</t>
  </si>
  <si>
    <t>Avaldamise keskkonna uuendused, lisaextensionite paigaldused, ajakohastamised. Plaan on kaasata nii töö-, tervise – kui ka sotsiaalvaldkonna eksperte nende vajaduste katmiseks. 2022 aasta minikonkurss ei õnnestunud, lisaarendustena: java mikroteenus andmete pärimiseks liidestuvatest süsteemidest ja andmete kuva automaatne genereerimine + disain + turvatestimine</t>
  </si>
  <si>
    <t>PROJ-3012</t>
  </si>
  <si>
    <t>FHIR haldus ja profileerimine 2023</t>
  </si>
  <si>
    <t>FHIR profileerimise töövahendi litsentsi pikendamine ja koostöö jätkamine profileerimise konsultandiga</t>
  </si>
  <si>
    <t>PROJ-3010</t>
  </si>
  <si>
    <t>Uute standardite alased koolitused TTOdele ja arenduspartneritele 2023</t>
  </si>
  <si>
    <t>HL7 FHIR alased koolitused TTOdele ja arenduspartneritele, FHIR teenuste edukamaks juurutamiseks</t>
  </si>
  <si>
    <t>TEHIK vastutaja</t>
  </si>
  <si>
    <t>PROJ-2989</t>
  </si>
  <si>
    <t>Patsiendiportaali hooldus ja väikearendused 2023</t>
  </si>
  <si>
    <t>Katrin Dormidontov</t>
  </si>
  <si>
    <t>Hooldus- ja väikearendustööd</t>
  </si>
  <si>
    <t>PROJ-2986</t>
  </si>
  <si>
    <t>Arstiportaali hooldus ja väikearendused 2023</t>
  </si>
  <si>
    <t>Hooldus ja väikearendused jooksvalt teostatud
Vajab raamhanget 2023 II PA</t>
  </si>
  <si>
    <t>PROJ-2985</t>
  </si>
  <si>
    <t>Õenduseepikriisi ja õendusabi digisaatekirja juurutamise toetamine 2023</t>
  </si>
  <si>
    <t>Tugitegevused TTOde arendustele, vajadusel TIS-i täiendused</t>
  </si>
  <si>
    <t>PROJ-2881</t>
  </si>
  <si>
    <t>Tervise infosüsteemi andmevaaturi hooldus- ja arendustööd 2023</t>
  </si>
  <si>
    <t>Nele Naris</t>
  </si>
  <si>
    <t>Tervise infosüsteemi andmevaaturi jooksvad hooldustööd ja väikearendused 2023. aastal. Jooksvalt lisanduvate väiksemate arendustööde realiseerimine ja probleemide lahendus. Eesmärk on tagada lahenduse jätkusuutlikkus.</t>
  </si>
  <si>
    <t>PROJ-2882</t>
  </si>
  <si>
    <t>Tervisevaldkonna rakenduste andmejälgija logikirjete ühtlustamine</t>
  </si>
  <si>
    <t>PROJ-2786</t>
  </si>
  <si>
    <t>Piiriülesed teenused (digiretsept ja patsiendi terviseandmete kokkuvõtte) - hooldus ja väikearendused 2023</t>
  </si>
  <si>
    <t>Katre Pruul</t>
  </si>
  <si>
    <t>Piiriülese digiretsepti ja terviseandmete kokkuvõtte teenuse hooldus ja arendused, sh, retsepti väljaostu võimaldamine esindajatele, dispensation discard ehk väljamüügi tühistamine, A poole ühikute mäpping terminoloogiaportaali, https://smjira.sm.ee/browse/ICPRA-210 - et teha PS-i koostamine paindlikumaks, kui TIS algandmetes on vigaseid andmeid, et ühe vigase andmeelemendi tõttu ei annaks viga kogu PS, Wave 6-ga seotud muudatuste sisseviimine (sh ärivigade käsitlus, retseptil pakendi suuruse info detailsema struktuuriga jms); apteegi API poolel retseptide nimekirja struktureeritult esitamine ja riikide päringu vastuse täiendamine, RR teenuste kasutus (RR414 teenuse väljavahetamine)</t>
  </si>
  <si>
    <t>PROJ-2766</t>
  </si>
  <si>
    <t>Tervise infosüsteemi hooldus , väikearendused ja litsentsid 2023</t>
  </si>
  <si>
    <t>Kadri Luhaäär</t>
  </si>
  <si>
    <t>Tervisevaldkonna rakenduste andmejälgija logikirjete ühtlustamine. Siin räägime TIS teenuste logide kirjelduste korrastamisest. Et need oleks iseselgitavad ja ei tekitaks meile ja TTO-dele asjatuid pöördumisi</t>
  </si>
  <si>
    <t>TIS Hooldus ja väikearendused jooksvalt teostatud.
WM upgrade, täpne versioon selgub uuel aastal. RE-st finantseeritakse Litsentsid 590 000€ (Webmethods 418 000€, Oracle 140 000€, RedHat 4800, HL7 5400 , Snomed 26000 ) + arendused</t>
  </si>
  <si>
    <t>Täitmine</t>
  </si>
  <si>
    <t>Jääk</t>
  </si>
  <si>
    <t>Tehtud tööde kirjeldus</t>
  </si>
  <si>
    <t>Tööjõukulud</t>
  </si>
  <si>
    <t>Arendusprojektid</t>
  </si>
  <si>
    <t>Tootehaldus</t>
  </si>
  <si>
    <t>Üks platvormitööde turvatestimise leping on läbi viidud. Teine on täitmisel.</t>
  </si>
  <si>
    <t>On toimunud e-tervise arhitektuuripaneeli kohtumised e-tervise valdkonna sihtarhitektuuri väljatöötamiseks.</t>
  </si>
  <si>
    <t>Tegemist on eeskätt reegliredaktori parandustöödega ning mikroteenustele viimisega. Andmekontrollireeglite funktsionaalsuse täiustamisega, et saaksime kasutada funktsionaalsust ka tänaste valideerimismehhanismidega</t>
  </si>
  <si>
    <t>Pikendasime terminoloogiaserveri litsentsi ning ülejäänud eelarve kulub terminoloogiatöödeks (tänasest publitseerimiskeskusest loendite migreerimine terminoloogiaserverisse ning juurutusjuhendi kirjeldamine kõikidele juurutajatele)</t>
  </si>
  <si>
    <t>Pikendasime FHIR profileerimise töövahendi litsentsi ning ülejäänud eelarve kulub Firely kontsultatsioonitundidele.</t>
  </si>
  <si>
    <t>Viidud läbi hange ning korraldatud FHIR koolitus partneritele (TTO-de IT-juhid ja arenduspartnerid) FHIR-alase teadlikkuse tõstmiseks.</t>
  </si>
  <si>
    <t>PROJ-3188</t>
  </si>
  <si>
    <t>PROJ-3032</t>
  </si>
  <si>
    <t>PROJ-3369</t>
  </si>
  <si>
    <t>PROJ-3370</t>
  </si>
  <si>
    <t>PROJ-3371</t>
  </si>
  <si>
    <t>Arenduste eelarve (km-ga)</t>
  </si>
  <si>
    <t>PROJ-3372</t>
  </si>
  <si>
    <t>PROJ-3184</t>
  </si>
  <si>
    <t>PROJ-3031 
PROJ-3016</t>
  </si>
  <si>
    <t>Eelarve</t>
  </si>
  <si>
    <t>Täitmise osakaal</t>
  </si>
  <si>
    <t>Ettemaks III kvartal:</t>
  </si>
  <si>
    <t>2022 ettemaksu jääk:</t>
  </si>
  <si>
    <t>Tasuda:</t>
  </si>
  <si>
    <t>Arve info:</t>
  </si>
  <si>
    <t xml:space="preserve">Tegelesime andmekirjelduskeskkonna vormingute kolimise ettevalmistamisega ning keskkonna turvatestimisega. Tegime turvatestidest tulenenud muudatused,. Lisaks  arendasime komponendi, mille abil sai schemad ja stiililehed migreerida nii, et see kasutajatele mõju ei avaldanud.  Vormingute kolimine algas 24.07.2023, </t>
  </si>
  <si>
    <t>Esialgne eelarve</t>
  </si>
  <si>
    <t>PROJ-2170</t>
  </si>
  <si>
    <t>Terviseportaali arendused 2023</t>
  </si>
  <si>
    <t>Kooskõlastatud muudatus</t>
  </si>
  <si>
    <t>Eelarve muutmise ettepanek (vähendamine -, suurendamine + märgiga)</t>
  </si>
  <si>
    <t>Eelarve muutmise ettepaneku põhjendus</t>
  </si>
  <si>
    <t>Palun suunata jääk tööplaani reale: Uue põlvkonna tervise infosüsteemi platvormi täiendavad arendusvajadused (PROJ-2924).
Töö teostamise eelduseks on dokumendiregistri/viidaregistri andmestiku migreerimine uuele platvormile. See jääb 2024. aastasse</t>
  </si>
  <si>
    <t>Uus eelarve</t>
  </si>
  <si>
    <t xml:space="preserve">Oleme jooksvalt aruteludel osalenud, õigusruumi sisend ja täpne tegevuskava SoM poolt puudu. </t>
  </si>
  <si>
    <t xml:space="preserve">e-konsultatsiooni teenusepõhiseks viimise arendused ja  stiililehe muudatused valmis. Üleriigiline live plaanis jaanuar 2024. </t>
  </si>
  <si>
    <t xml:space="preserve">Alustatud ÜDR vaadete Terviseportaali viimisega. Uute vaadete prototüübid Bitwebiga koostöös tehetud.  Toimub uue broneeringu mikroteenuse loomine. </t>
  </si>
  <si>
    <t xml:space="preserve">Tervisekassale sisendimaterjalid esitatud, kohtumistel osaletud. </t>
  </si>
  <si>
    <t xml:space="preserve">Teostatavuse analüüs on valmis. Alustatud on ärianalüüsiga ning paralleelselt liigutakse edasi tehnilise lahenduse arhitektuuri aruteludega. </t>
  </si>
  <si>
    <t>Ajaleidjas tehti seoses Terviseportaali loomisega arendus, et oleks võimalik eraldada ajaleidja pakkumised tava broneeringutest.  ÜDR - hambaravi videovastuvõttude broneerimise käivitamine; lisatud inglise keelne tekst välismaalaste jaoks; lõpetatud Turvaraportis toodud soovituslike arenduste teostamineÜDR vaadete Terviseportaali viimise analüüsiga alustamine.</t>
  </si>
  <si>
    <t xml:space="preserve">Rahvastikuregistri päringute arendused uute vähem andmeid tagastatavate päringutega - Seotud isikute päringus asendada Rahvastikuregistri päringud RR52 ja R414 Rahvastikuregistri päringutega RR404, RR464 ja RR465-ga. Novembri hoolsuse raames tõstetakse live keskkonda. </t>
  </si>
  <si>
    <r>
      <t xml:space="preserve">Avatud teenus </t>
    </r>
    <r>
      <rPr>
        <b/>
        <sz val="10"/>
        <color rgb="FF444444"/>
        <rFont val="Raleway"/>
        <family val="2"/>
      </rPr>
      <t>Hispaaniaga</t>
    </r>
    <r>
      <rPr>
        <sz val="10"/>
        <color rgb="FF444444"/>
        <rFont val="Raleway"/>
        <family val="2"/>
      </rPr>
      <t xml:space="preserve"> (eP, PS) ja </t>
    </r>
    <r>
      <rPr>
        <b/>
        <sz val="10"/>
        <color rgb="FF444444"/>
        <rFont val="Raleway"/>
        <family val="2"/>
      </rPr>
      <t>Tšehhiga</t>
    </r>
    <r>
      <rPr>
        <sz val="10"/>
        <color rgb="FF444444"/>
        <rFont val="Raleway"/>
        <family val="2"/>
      </rPr>
      <t xml:space="preserve"> (eP ja PS riik A). Edukas uue tarkvara versiooni riikide ülesel testimisüritusel osalemine. Toodangukeskonnas riikideülese tarkvara versiooniks valmistumine (toimub oktoobris). eP teenuse EK follow-up audit (Operational Compliance Check, mis tehakse iga 3 aasta tagant). Uue arensupartneri hanke ettevalmistused. </t>
    </r>
  </si>
  <si>
    <t>Õendusepikriisi  arendus töös – epikriisi vormi täitmise ja saatmise funktsionaalsus on loodud, lisamisel on kasutusmugavust ja turvalisust tõstev võimlaus salvestamaks patsiendi ravi alguse terviseseisundi parameetreid, salvestada poolikut epikriisi jätkates hiljem dokumenteerimist. Live plaanis detsembris.</t>
  </si>
  <si>
    <t xml:space="preserve">Õendusepikriisi arendustööd käimas (vt järgmine rida). Digidoc4j versiooni vahetus. </t>
  </si>
  <si>
    <t>Suletud sai teavitusteenuse getEvent päringud, kuna RIA sulgeb vastava teenuse. Uuendati allkirjastamise sertifikaate.</t>
  </si>
  <si>
    <t>Asendati, analüüsist selgunud, enim andmeliiasust tekitanud rahvastikuregistri teenused (RR414 ja RR52). Tootmiskeskkonda panek 16.11.23.  Järgmise etapina vajab asendamist veel andmeliiasust tekitavad rahvastikuregistri teenused (RR40 ja RR76). Arendati spetsialistide võimalus andmete edastamiseks tervise infosüsteemi. Lisaks tehnilised hooldustööd ja veaparandused (signeriga seotud parandused, riskirühma logi täiendus, SKA TSK parandus, WM patchimisega läks pildipank katki, tervise infosüsteemi koormuse probleemid jms). Töös on ka Pildipanga uue vaaturi ühendamine tervise infosüsteemiga ja uue terviseportaali tulekuga patsiendiportaali sulgemine ja sellest tulenevalt volitatud töökoha seadusest tulenevate toimingute jaoks lahenduse leidmine (nt kinnipeetavad).</t>
  </si>
  <si>
    <t xml:space="preserve">Tootmiskeskkonnas on olemas järgmised teenused: vastuvõtud ja saatekirjad; vaktsineerimise info; retseptid ja med.seadmed; töövõime info; raviarved; hammaste tervis. Hooldustööde hankeleping sõlmitud. </t>
  </si>
  <si>
    <t xml:space="preserve">Jooksvad hooldustööd: parandatud suletud andmete ikooni töötamist; puuete päringul SKAsse tehtud erisus välismaa isikukoodide korral; tagasiside e-kirjade päise konfigureeritavaks muutmine; lisatud surnukeha loovutamise tahteavaldus; parendused AV launcheris; kasutajaliidese parendused. </t>
  </si>
  <si>
    <t>Aruanne 30.09 seisuga:</t>
  </si>
  <si>
    <t>Ettemaks IV kvartal:</t>
  </si>
  <si>
    <t>Tegeleme alliksüsteemidest andmestiku automaatse genereerimisega ning disainitöödega, infoarhitektuuri esialgse versiooniga. LIVE detsember 2023.</t>
  </si>
  <si>
    <t>OID haldusmooduli arendused algasid 22.06.2023 - tööd käivad. Kliiniliste infomudelite tehnilise töövahendi ja CDA-FHIR vastenduste analüüsitööd algasid oktoober 2023 ja hankelepingu maht on 49 000 +km. Klassifikaatorite ja koodiloendite analüüsi- ja arendustööd algasid oktoober 2023</t>
  </si>
  <si>
    <t>Valmis TJT rakendus - sisselogimine ja välja logimine, rolli valik ja vahetus, patsiendi valik ja vahetus.
Valmis ravimiskeem - ravimite vaade Retseptikeskuse andmete põhjal.</t>
  </si>
  <si>
    <t>Analüüsiti dokumentide väljavõtete kasutamist erinevates TIS teenustes. Saadi teadmine, et dokumentide väljavõtteid kasutatakse erinevates teenustes ning andmete migreerimisel tuleb migreerida ka dokumentide väljavõtete osa. Otsustati töö lükata edasi 2024. aastasse ning taotleti töö eelarve kasutamist muudeks platvormitöödega seotud vajadusteks</t>
  </si>
  <si>
    <t>Arendustööd on teostatud. Aegkriitiliste andmete teenus on mikroteenuste platvormile ümber kirjutatud. Teenus ootab toodangukeskkonnas kasutusele võtmist.</t>
  </si>
  <si>
    <t>Patsiendi üldandmete teenuse põhifunktsionaalsus sai välja töötatud. Toimusid ettevalmistused teenuse kasutuselevõtmiseks.</t>
  </si>
  <si>
    <t>FHIR serveri valiku osas valikukriteerimid üle vaadatud ning kinnitatud. FHIR serveri lähteülesanne koostatud ja arenduspartneriga tegevusplaan kokkulepitud. Terviklikuse tagamise analüüsi tulemused arenduspartnerilt kätte saadud ning ootavad TEHIKU ülevaatamist ja kinnitamist. Toimus katsetuste läbiviimine FHIR andmete talletamiseks relatsioonilises andmemudelis.</t>
  </si>
  <si>
    <t>Lähteülesanne on läbimõtestatud ja koostatud FHIR andmekvaliteedi kontrollide mehhanismi paika panemiseks. Lähteülesanne antud üle arenduspartnerile ning töö käib.</t>
  </si>
  <si>
    <t>Alustati juurdepääsuõiguste ärilise analüüsiga. Arenduspartner alustas juurdepääsuõiguste mooduli arendustega patsiendi üldandmete teenuse (PÜT) vajadusi arvestades.</t>
  </si>
  <si>
    <t>Ei tekkinud vajadust II-kvartalis sündmuspõhise andmevahetusega seotud turvatestide tellimiseks.</t>
  </si>
  <si>
    <t>Tööde teostamine Pildipanga uue veebivaaturi kasutuselevõtmiseks, tööd jätkuvad IV-kvartalis.
Retseptikeskuse integratsioonitööde osas viidi aasta esimeses pooles läbi teenuste kasutuse inventuur. Samas sai tööde käigus selgeks, et Retseptikeskuse integratsiooni üleviimine tähendab ka Tervisekassa poolelt rohkem ettevalmistavaid tegevusi, mistõttu TIS poolsed tööd lükkuvad 2024. aasta I-kvartalisse. 
Publitseerimiskeskusega seotud töödega tegeletakse novembri-detsembrikuus.</t>
  </si>
  <si>
    <t>Pildipanga integratsioonitööde maksumuseks kujuneb hinnanguliselt 55 000€ (km'ta). Kuna retseptikeskuse integratsioonitööd lükkuvad 2024. aastasse, siis on vaja selleks 2023. aastasse ettenähtud eelarvet tervisetõendite tööde lõpetamiseks summas 84 000€ (km'ga).</t>
  </si>
  <si>
    <t>Tööde käigus on selgunud, et tööd lähevad oodatust mahukamaks ning on tulnud vaja teha ka lisatöid, mida esmalt ei olnud ette nähtud. Selleks taotleme PROJ-2880 tööplaani realt vahendite summas 84 000€ (km'ga) ülekandmist tööplaani reale PROJ-2923.</t>
  </si>
  <si>
    <t>Oleme saanud edukalt tööle platvormitööde tootestamise tiimi, kes võtab sprindipõhiselt järjest vanast platvormist lahti saamiseks vajalikke töid ette. Selleks on ka arendajate poolseid tiime suurendatud. Töödega edasiliikumiseks kuni aasta lõpuni vajame lisavahendeid. On vaja panustada ka paremasse vigade haldusesse ja väljatulnud sisemistesse vajadustesse (nt dependency trackeri kasutuselevõtt).</t>
  </si>
  <si>
    <t>Palun suunata planeeritud eelarvest 48 000€ (km'ga) tööplaani reale PROJ-2924.
Juurdepääsuõiguste mooduli arendustööd käivad, kuid hinnanguliselt kulub eelarvest see aasta vähe üle poole, mistõttu allesjäävaid vahendeid on võimalik kasutada muudeks töödeks.</t>
  </si>
  <si>
    <t>Palun suunata eelarve tööplaani reale PROJ-2924.Turvatestide partneri tööde list on käesoleval aastal täis. Ei ole näha, et suudetaks veel töid lisaks juurde võtta.</t>
  </si>
  <si>
    <t>Palun suunata eelarve jääk tööplaani reale PROJ-2924.
POC läbi viidud, töödele kulus eeldatust vähem vahendeid.</t>
  </si>
  <si>
    <t xml:space="preserve">POCid said II-kvartalis läbi viidud, tulemused on kirjeldatud. </t>
  </si>
  <si>
    <t xml:space="preserve">Tegeleti arendustöödega tervisetõendite funktsionaalsuse üleviimiseks mikroteenuste platvormile. Tööde käigus selgus, et arendustööd lähevad oodatust mahukamaks. Tööde tähtajana oleme arvestanud aasta lõpu. </t>
  </si>
  <si>
    <t>Patsiendi üldandmete teenuse jätkuarendused (sh integratsioonid teiste infosüsteemidega (ADS, TÖR). DRIT/VRIT paralleliseerimise teenuste refaktooring. Paralleliseerimata VRIT/DRIT flow'de ümberkirjutamine. Lisaks erinevad väiksemad arendusvajadused ja katsetused, sh ettevalmistused teenuste tootestamiseks.</t>
  </si>
  <si>
    <t>Palun suunata eelarve tööplaani reale: PROJ-2924. 
Terviseportaal juba on uue audit teenusega suhtlema pandud. Töödesse panustati upTIS platvormitööde ja terviseportaali tööde käigus.</t>
  </si>
  <si>
    <t xml:space="preserve">30000 tõsta Terviseportaali arenduse alla, Patsiendiportaalis me enam muudatusi ei planeeri ja see summa aitab vähendada TP eelarve puudujääki. </t>
  </si>
  <si>
    <t xml:space="preserve">Palun suunata jääk tööplaani reale: Uue põlvkonna tervise infosüsteemi platvormi täiendavad arendusvajadused (PROJ-2924).
Tööd käivad, kuid eelarvet kulub eeldatust vähem. </t>
  </si>
  <si>
    <t>Antud analüüs tellitud koos infomudelite haldusvahendi analüüsiga (PROJ-2941 osa) ning jätkub veel 2024.</t>
  </si>
  <si>
    <t>Tervisejuhtimise töölaua väikearendused ja hooldustööd 2023</t>
  </si>
  <si>
    <t>2023. aasta lõpus peale tervisejuhtimise töölaua lahenduse tootestamist vajalike väiksemate väikearendustööde ja hooldustööde teostamine.</t>
  </si>
  <si>
    <t>TEHIK-Tervisekassa lepingust on jäänud välja tervisejuhtimise töölaua väikearendustööde ja hooldustööde eelarve, mis oli nähtud ette 2023. aasta lõpu töödeks.</t>
  </si>
  <si>
    <t xml:space="preserve">Jääk palun tõsta TP arenduskulude katteks, piiriülese teenuse peale sellel aastal planeeritud summat ei kulu ja järgmisele aastale ei ole vaja edasi tõsta, saame osaliselt rahalist katet välisprojektist.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</si>
</sst>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8" formatCode="#,##0.00\ &quot;€&quot;;[Red]\-#,##0.00\ &quot;€&quot;"/>
    <numFmt numFmtId="164" formatCode="#,##0.00\ &quot;€&quot;"/>
    <numFmt numFmtId="165" formatCode="#,##0\ &quot;€&quot;"/>
  </numFmts>
  <fonts count="21" x14ac:knownFonts="1">
    <font>
      <sz val="11"/>
      <color theme="1"/>
      <name val="Calibri"/>
      <family val="2"/>
      <scheme val="minor"/>
    </font>
    <font>
      <sz val="11"/>
      <color rgb="FF000000"/>
      <name val="Raleway"/>
      <family val="2"/>
    </font>
    <font>
      <b/>
      <sz val="10"/>
      <color rgb="FF000000"/>
      <name val="Raleway"/>
      <family val="2"/>
    </font>
    <font>
      <sz val="10"/>
      <color rgb="FF000000"/>
      <name val="Raleway"/>
      <family val="2"/>
    </font>
    <font>
      <sz val="10"/>
      <name val="Raleway"/>
      <family val="2"/>
    </font>
    <font>
      <sz val="10"/>
      <color theme="1"/>
      <name val="Raleway"/>
      <family val="2"/>
    </font>
    <font>
      <sz val="11"/>
      <color rgb="FF000000"/>
      <name val="Calibri"/>
      <family val="2"/>
      <scheme val="minor"/>
    </font>
    <font>
      <b/>
      <sz val="11"/>
      <color rgb="FF000000"/>
      <name val="Calibri"/>
      <family val="2"/>
      <scheme val="minor"/>
    </font>
    <font>
      <b/>
      <sz val="11"/>
      <color theme="1"/>
      <name val="Raleway"/>
      <family val="2"/>
    </font>
    <font>
      <sz val="11"/>
      <color theme="1"/>
      <name val="Raleway"/>
      <family val="2"/>
    </font>
    <font>
      <b/>
      <sz val="11"/>
      <color rgb="FF000000"/>
      <name val="Raleway"/>
      <family val="2"/>
    </font>
    <font>
      <i/>
      <sz val="11"/>
      <color theme="1"/>
      <name val="Raleway"/>
      <family val="2"/>
    </font>
    <font>
      <b/>
      <sz val="11"/>
      <color theme="1"/>
      <name val="Calibri"/>
      <family val="2"/>
      <scheme val="minor"/>
    </font>
    <font>
      <sz val="11"/>
      <color rgb="FFFF0000"/>
      <name val="Calibri"/>
      <family val="2"/>
      <scheme val="minor"/>
    </font>
    <font>
      <sz val="11"/>
      <color theme="1"/>
      <name val="Calibri"/>
      <family val="2"/>
      <scheme val="minor"/>
    </font>
    <font>
      <sz val="10"/>
      <color rgb="FFFF0000"/>
      <name val="Raleway"/>
      <family val="2"/>
    </font>
    <font>
      <sz val="10"/>
      <color rgb="FF444444"/>
      <name val="Raleway"/>
      <family val="2"/>
    </font>
    <font>
      <b/>
      <sz val="10"/>
      <color rgb="FF444444"/>
      <name val="Raleway"/>
      <family val="2"/>
    </font>
    <font>
      <b/>
      <sz val="11"/>
      <name val="Raleway"/>
      <family val="2"/>
    </font>
    <font>
      <sz val="11"/>
      <name val="Raleway"/>
      <family val="2"/>
    </font>
    <font>
      <sz val="11"/>
      <color rgb="FFFF0000"/>
      <name val="Raleway"/>
      <family val="2"/>
    </font>
  </fonts>
  <fills count="4">
    <fill>
      <patternFill patternType="none"/>
    </fill>
    <fill>
      <patternFill patternType="gray125"/>
    </fill>
    <fill>
      <patternFill patternType="solid">
        <fgColor rgb="FFD9D9D9"/>
        <bgColor rgb="FF000000"/>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thin">
        <color indexed="64"/>
      </left>
      <right/>
      <top style="thin">
        <color indexed="64"/>
      </top>
      <bottom/>
      <diagonal/>
    </border>
    <border>
      <left/>
      <right/>
      <top style="medium">
        <color rgb="FF000000"/>
      </top>
      <bottom/>
      <diagonal/>
    </border>
    <border>
      <left/>
      <right/>
      <top/>
      <bottom style="medium">
        <color rgb="FF000000"/>
      </bottom>
      <diagonal/>
    </border>
    <border>
      <left/>
      <right/>
      <top style="medium">
        <color auto="1"/>
      </top>
      <bottom/>
      <diagonal/>
    </border>
    <border>
      <left/>
      <right style="thin">
        <color indexed="64"/>
      </right>
      <top style="thin">
        <color indexed="64"/>
      </top>
      <bottom style="thin">
        <color indexed="64"/>
      </bottom>
      <diagonal/>
    </border>
  </borders>
  <cellStyleXfs count="2">
    <xf numFmtId="0" fontId="0" fillId="0" borderId="0"/>
    <xf numFmtId="9" fontId="14" fillId="0" borderId="0" applyFont="0" applyFill="0" applyBorder="0" applyAlignment="0" applyProtection="0"/>
  </cellStyleXfs>
  <cellXfs count="81">
    <xf numFmtId="0" fontId="0" fillId="0" borderId="0" xfId="0"/>
    <xf numFmtId="0" fontId="2" fillId="2" borderId="1" xfId="0" applyFont="1" applyFill="1" applyBorder="1" applyAlignment="1">
      <alignment wrapText="1"/>
    </xf>
    <xf numFmtId="0" fontId="3" fillId="0" borderId="1" xfId="0" applyFont="1" applyBorder="1" applyAlignment="1">
      <alignment wrapText="1"/>
    </xf>
    <xf numFmtId="6" fontId="3" fillId="0" borderId="1" xfId="0" applyNumberFormat="1" applyFont="1" applyBorder="1" applyAlignment="1">
      <alignment wrapText="1"/>
    </xf>
    <xf numFmtId="0" fontId="4" fillId="0" borderId="1" xfId="0" applyFont="1" applyBorder="1" applyAlignment="1">
      <alignment wrapText="1"/>
    </xf>
    <xf numFmtId="0" fontId="1" fillId="0" borderId="1" xfId="0" applyFont="1" applyBorder="1"/>
    <xf numFmtId="0" fontId="3" fillId="3" borderId="1" xfId="0" applyFont="1" applyFill="1" applyBorder="1" applyAlignment="1">
      <alignment wrapText="1"/>
    </xf>
    <xf numFmtId="0" fontId="1" fillId="3" borderId="1" xfId="0" applyFont="1" applyFill="1" applyBorder="1"/>
    <xf numFmtId="0" fontId="9" fillId="0" borderId="0" xfId="0" applyFont="1" applyAlignment="1">
      <alignment wrapText="1"/>
    </xf>
    <xf numFmtId="0" fontId="9" fillId="0" borderId="0" xfId="0" applyFont="1"/>
    <xf numFmtId="0" fontId="9" fillId="3" borderId="0" xfId="0" applyFont="1" applyFill="1"/>
    <xf numFmtId="0" fontId="8" fillId="0" borderId="1" xfId="0" applyFont="1" applyBorder="1"/>
    <xf numFmtId="6" fontId="8" fillId="0" borderId="1" xfId="0" applyNumberFormat="1" applyFont="1" applyBorder="1"/>
    <xf numFmtId="0" fontId="8" fillId="0" borderId="0" xfId="0" applyFont="1"/>
    <xf numFmtId="164" fontId="9" fillId="0" borderId="0" xfId="0" applyNumberFormat="1" applyFont="1"/>
    <xf numFmtId="0" fontId="10" fillId="0" borderId="1" xfId="0" applyFont="1" applyBorder="1"/>
    <xf numFmtId="164" fontId="10" fillId="0" borderId="1" xfId="0" applyNumberFormat="1" applyFont="1" applyBorder="1"/>
    <xf numFmtId="8" fontId="9" fillId="0" borderId="0" xfId="0" applyNumberFormat="1" applyFont="1"/>
    <xf numFmtId="3" fontId="9" fillId="0" borderId="0" xfId="0" applyNumberFormat="1" applyFont="1"/>
    <xf numFmtId="0" fontId="11" fillId="0" borderId="0" xfId="0" applyFont="1"/>
    <xf numFmtId="0" fontId="11" fillId="0" borderId="0" xfId="0" applyFont="1" applyAlignment="1">
      <alignment wrapText="1"/>
    </xf>
    <xf numFmtId="0" fontId="9" fillId="0" borderId="0" xfId="0" applyFont="1" applyAlignment="1">
      <alignment horizontal="center"/>
    </xf>
    <xf numFmtId="6" fontId="9" fillId="0" borderId="0" xfId="0" applyNumberFormat="1" applyFont="1"/>
    <xf numFmtId="6" fontId="3" fillId="0" borderId="5" xfId="0" applyNumberFormat="1" applyFont="1" applyBorder="1" applyAlignment="1">
      <alignment wrapText="1"/>
    </xf>
    <xf numFmtId="6" fontId="3" fillId="3" borderId="5" xfId="0" applyNumberFormat="1" applyFont="1" applyFill="1" applyBorder="1" applyAlignment="1">
      <alignment wrapText="1"/>
    </xf>
    <xf numFmtId="6" fontId="5" fillId="0" borderId="5" xfId="0" applyNumberFormat="1" applyFont="1" applyBorder="1" applyAlignment="1">
      <alignment wrapText="1"/>
    </xf>
    <xf numFmtId="0" fontId="12" fillId="0" borderId="0" xfId="0" applyFont="1"/>
    <xf numFmtId="0" fontId="13" fillId="0" borderId="0" xfId="0" applyFont="1"/>
    <xf numFmtId="6" fontId="4" fillId="0" borderId="5" xfId="0" applyNumberFormat="1" applyFont="1" applyFill="1" applyBorder="1" applyAlignment="1">
      <alignment wrapText="1"/>
    </xf>
    <xf numFmtId="6" fontId="5" fillId="0" borderId="5" xfId="0" applyNumberFormat="1" applyFont="1" applyFill="1" applyBorder="1" applyAlignment="1">
      <alignment wrapText="1"/>
    </xf>
    <xf numFmtId="6" fontId="3" fillId="0" borderId="5" xfId="0" applyNumberFormat="1" applyFont="1" applyFill="1" applyBorder="1" applyAlignment="1">
      <alignment wrapText="1"/>
    </xf>
    <xf numFmtId="0" fontId="7" fillId="0" borderId="8" xfId="0" applyFont="1" applyFill="1" applyBorder="1"/>
    <xf numFmtId="6" fontId="7" fillId="0" borderId="12" xfId="0" applyNumberFormat="1" applyFont="1" applyFill="1" applyBorder="1"/>
    <xf numFmtId="0" fontId="7" fillId="0" borderId="12" xfId="0" applyFont="1" applyFill="1" applyBorder="1"/>
    <xf numFmtId="0" fontId="6" fillId="0" borderId="9" xfId="0" applyFont="1" applyFill="1" applyBorder="1"/>
    <xf numFmtId="6" fontId="6" fillId="0" borderId="0" xfId="0" applyNumberFormat="1" applyFont="1" applyFill="1" applyBorder="1"/>
    <xf numFmtId="0" fontId="6" fillId="0" borderId="10" xfId="0" applyFont="1" applyFill="1" applyBorder="1"/>
    <xf numFmtId="6" fontId="6" fillId="0" borderId="13" xfId="0" applyNumberFormat="1" applyFont="1" applyFill="1" applyBorder="1"/>
    <xf numFmtId="0" fontId="0" fillId="0" borderId="0" xfId="0" applyFill="1"/>
    <xf numFmtId="6" fontId="12" fillId="0" borderId="0" xfId="0" applyNumberFormat="1" applyFont="1" applyFill="1"/>
    <xf numFmtId="0" fontId="0" fillId="0" borderId="14" xfId="0" applyBorder="1"/>
    <xf numFmtId="9" fontId="12" fillId="0" borderId="14" xfId="1" applyFont="1" applyBorder="1"/>
    <xf numFmtId="0" fontId="12" fillId="0" borderId="0" xfId="0" applyFont="1" applyBorder="1" applyAlignment="1">
      <alignment wrapText="1"/>
    </xf>
    <xf numFmtId="9" fontId="0" fillId="0" borderId="0" xfId="1" applyFont="1" applyBorder="1"/>
    <xf numFmtId="165" fontId="0" fillId="0" borderId="0" xfId="0" applyNumberFormat="1"/>
    <xf numFmtId="6" fontId="0" fillId="0" borderId="14" xfId="0" applyNumberFormat="1" applyBorder="1"/>
    <xf numFmtId="0" fontId="12" fillId="0" borderId="14" xfId="0" applyFont="1" applyBorder="1"/>
    <xf numFmtId="6" fontId="12" fillId="0" borderId="14" xfId="0" applyNumberFormat="1" applyFont="1" applyBorder="1"/>
    <xf numFmtId="0" fontId="3" fillId="0" borderId="1" xfId="0" applyFont="1" applyFill="1" applyBorder="1" applyAlignment="1">
      <alignment wrapText="1"/>
    </xf>
    <xf numFmtId="6" fontId="4" fillId="0" borderId="5" xfId="0" applyNumberFormat="1" applyFont="1" applyBorder="1" applyAlignment="1">
      <alignment wrapText="1"/>
    </xf>
    <xf numFmtId="3" fontId="3" fillId="0" borderId="1" xfId="0" applyNumberFormat="1" applyFont="1" applyBorder="1" applyAlignment="1">
      <alignment wrapText="1"/>
    </xf>
    <xf numFmtId="0" fontId="5" fillId="0" borderId="1" xfId="0" applyFont="1" applyBorder="1" applyAlignment="1">
      <alignment wrapText="1"/>
    </xf>
    <xf numFmtId="0" fontId="5" fillId="0" borderId="1" xfId="0" applyFont="1" applyBorder="1" applyAlignment="1">
      <alignment vertical="center" wrapText="1"/>
    </xf>
    <xf numFmtId="0" fontId="9" fillId="0" borderId="1" xfId="0" applyFont="1" applyBorder="1" applyAlignment="1">
      <alignment vertical="center" wrapText="1"/>
    </xf>
    <xf numFmtId="0" fontId="0" fillId="0" borderId="0" xfId="0" applyBorder="1"/>
    <xf numFmtId="165" fontId="0" fillId="0" borderId="0" xfId="0" applyNumberFormat="1" applyBorder="1"/>
    <xf numFmtId="165" fontId="12" fillId="0" borderId="0" xfId="0" applyNumberFormat="1" applyFont="1"/>
    <xf numFmtId="6" fontId="15" fillId="0" borderId="5" xfId="0" applyNumberFormat="1" applyFont="1" applyBorder="1" applyAlignment="1">
      <alignment wrapText="1"/>
    </xf>
    <xf numFmtId="3" fontId="3" fillId="0" borderId="5" xfId="0" applyNumberFormat="1" applyFont="1" applyFill="1" applyBorder="1" applyAlignment="1">
      <alignment wrapText="1"/>
    </xf>
    <xf numFmtId="3" fontId="4" fillId="0" borderId="5" xfId="0" applyNumberFormat="1" applyFont="1" applyFill="1" applyBorder="1" applyAlignment="1">
      <alignment wrapText="1"/>
    </xf>
    <xf numFmtId="0" fontId="3" fillId="0" borderId="3" xfId="0" applyFont="1" applyBorder="1" applyAlignment="1">
      <alignment wrapText="1"/>
    </xf>
    <xf numFmtId="0" fontId="16" fillId="0" borderId="1" xfId="0" applyFont="1" applyBorder="1" applyAlignment="1">
      <alignment horizontal="left" vertical="top" wrapText="1"/>
    </xf>
    <xf numFmtId="6" fontId="5" fillId="0" borderId="1" xfId="0" applyNumberFormat="1" applyFont="1" applyBorder="1" applyAlignment="1">
      <alignment wrapText="1"/>
    </xf>
    <xf numFmtId="6" fontId="3" fillId="3" borderId="1" xfId="0" applyNumberFormat="1" applyFont="1" applyFill="1" applyBorder="1" applyAlignment="1">
      <alignment wrapText="1"/>
    </xf>
    <xf numFmtId="3" fontId="3" fillId="0" borderId="5" xfId="0" applyNumberFormat="1" applyFont="1" applyBorder="1" applyAlignment="1">
      <alignment wrapText="1"/>
    </xf>
    <xf numFmtId="3" fontId="5" fillId="0" borderId="5" xfId="0" applyNumberFormat="1" applyFont="1" applyFill="1" applyBorder="1" applyAlignment="1">
      <alignment wrapText="1"/>
    </xf>
    <xf numFmtId="3" fontId="4" fillId="0" borderId="5" xfId="0" applyNumberFormat="1" applyFont="1" applyBorder="1" applyAlignment="1">
      <alignment wrapText="1"/>
    </xf>
    <xf numFmtId="3" fontId="10" fillId="0" borderId="1" xfId="0" applyNumberFormat="1" applyFont="1" applyBorder="1"/>
    <xf numFmtId="3" fontId="18" fillId="0" borderId="1" xfId="0" applyNumberFormat="1" applyFont="1" applyBorder="1"/>
    <xf numFmtId="6" fontId="1" fillId="0" borderId="4" xfId="0" applyNumberFormat="1" applyFont="1" applyBorder="1"/>
    <xf numFmtId="0" fontId="1" fillId="0" borderId="3" xfId="0" applyFont="1" applyBorder="1"/>
    <xf numFmtId="6" fontId="1" fillId="0" borderId="11" xfId="0" applyNumberFormat="1" applyFont="1" applyBorder="1"/>
    <xf numFmtId="0" fontId="1" fillId="0" borderId="6" xfId="0" applyFont="1" applyBorder="1" applyAlignment="1">
      <alignment horizontal="left" wrapText="1"/>
    </xf>
    <xf numFmtId="6" fontId="1" fillId="0" borderId="7" xfId="0" applyNumberFormat="1" applyFont="1" applyBorder="1"/>
    <xf numFmtId="0" fontId="1" fillId="0" borderId="2" xfId="0" applyFont="1" applyBorder="1" applyAlignment="1">
      <alignment wrapText="1"/>
    </xf>
    <xf numFmtId="0" fontId="1" fillId="0" borderId="0" xfId="0" applyFont="1" applyBorder="1"/>
    <xf numFmtId="6" fontId="1" fillId="0" borderId="15" xfId="0" applyNumberFormat="1" applyFont="1" applyBorder="1"/>
    <xf numFmtId="3" fontId="19" fillId="0" borderId="0" xfId="0" applyNumberFormat="1" applyFont="1"/>
    <xf numFmtId="0" fontId="1" fillId="0" borderId="2" xfId="0" applyFont="1" applyBorder="1"/>
    <xf numFmtId="6" fontId="1" fillId="0" borderId="2" xfId="0" applyNumberFormat="1" applyFont="1" applyBorder="1"/>
    <xf numFmtId="0" fontId="20" fillId="0" borderId="0" xfId="0" applyFont="1"/>
  </cellXfs>
  <cellStyles count="2">
    <cellStyle name="Normaallaad" xfId="0" builtinId="0"/>
    <cellStyle name="Prot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69FD0-1A18-42AA-8172-47F317DB5C43}">
  <dimension ref="A1:E15"/>
  <sheetViews>
    <sheetView tabSelected="1" workbookViewId="0">
      <selection activeCell="C11" sqref="C11:C13"/>
    </sheetView>
  </sheetViews>
  <sheetFormatPr defaultRowHeight="14.4" x14ac:dyDescent="0.3"/>
  <cols>
    <col min="1" max="1" width="16" customWidth="1"/>
    <col min="2" max="2" width="12" customWidth="1"/>
    <col min="3" max="4" width="11" bestFit="1" customWidth="1"/>
    <col min="5" max="5" width="10.44140625" customWidth="1"/>
  </cols>
  <sheetData>
    <row r="1" spans="1:5" ht="28.8" x14ac:dyDescent="0.3">
      <c r="A1" s="31"/>
      <c r="B1" s="32" t="s">
        <v>143</v>
      </c>
      <c r="C1" s="33" t="s">
        <v>122</v>
      </c>
      <c r="D1" s="32" t="s">
        <v>123</v>
      </c>
      <c r="E1" s="42" t="s">
        <v>144</v>
      </c>
    </row>
    <row r="2" spans="1:5" x14ac:dyDescent="0.3">
      <c r="A2" s="34" t="s">
        <v>10</v>
      </c>
      <c r="B2" s="35">
        <f>Arendusprojektid!D10</f>
        <v>1584000</v>
      </c>
      <c r="C2" s="35">
        <f>Arendusprojektid!E10</f>
        <v>444262.94399999996</v>
      </c>
      <c r="D2" s="35">
        <f>B2-C2</f>
        <v>1139737.0560000001</v>
      </c>
      <c r="E2" s="43">
        <f>C2/B2</f>
        <v>0.28046903030303028</v>
      </c>
    </row>
    <row r="3" spans="1:5" x14ac:dyDescent="0.3">
      <c r="A3" s="34" t="s">
        <v>12</v>
      </c>
      <c r="B3" s="35">
        <f>Arendusprojektid!D16</f>
        <v>367418</v>
      </c>
      <c r="C3" s="35">
        <f>Arendusprojektid!E16</f>
        <v>272428.08999999997</v>
      </c>
      <c r="D3" s="35">
        <f t="shared" ref="D3:D5" si="0">B3-C3</f>
        <v>94989.910000000033</v>
      </c>
      <c r="E3" s="43">
        <f t="shared" ref="E3:E5" si="1">C3/B3</f>
        <v>0.74146636800592236</v>
      </c>
    </row>
    <row r="4" spans="1:5" x14ac:dyDescent="0.3">
      <c r="A4" s="34" t="s">
        <v>13</v>
      </c>
      <c r="B4" s="35">
        <f>'TIS 2023'!D12</f>
        <v>1386056</v>
      </c>
      <c r="C4" s="35">
        <f>'TIS 2023'!G12</f>
        <v>943746</v>
      </c>
      <c r="D4" s="35">
        <f t="shared" si="0"/>
        <v>442310</v>
      </c>
      <c r="E4" s="43">
        <f t="shared" si="1"/>
        <v>0.68088590937162707</v>
      </c>
    </row>
    <row r="5" spans="1:5" ht="15" thickBot="1" x14ac:dyDescent="0.35">
      <c r="A5" s="36" t="s">
        <v>14</v>
      </c>
      <c r="B5" s="37">
        <f>'upTIS 2023'!D31</f>
        <v>4213818.2</v>
      </c>
      <c r="C5" s="37">
        <f>'upTIS 2023'!G31</f>
        <v>2179305.0350000001</v>
      </c>
      <c r="D5" s="37">
        <f t="shared" si="0"/>
        <v>2034513.165</v>
      </c>
      <c r="E5" s="43">
        <f t="shared" si="1"/>
        <v>0.51718060238099495</v>
      </c>
    </row>
    <row r="6" spans="1:5" x14ac:dyDescent="0.3">
      <c r="A6" s="38"/>
      <c r="B6" s="39">
        <f>SUM(B2:B5)</f>
        <v>7551292.2000000002</v>
      </c>
      <c r="C6" s="39">
        <f>SUM(C2:C5)</f>
        <v>3839742.0690000001</v>
      </c>
      <c r="D6" s="39">
        <f t="shared" ref="D6" si="2">SUM(D2:D5)</f>
        <v>3711550.1310000001</v>
      </c>
      <c r="E6" s="41">
        <f>C6/B6</f>
        <v>0.50848807956338915</v>
      </c>
    </row>
    <row r="10" spans="1:5" ht="15" thickBot="1" x14ac:dyDescent="0.35">
      <c r="A10" t="s">
        <v>148</v>
      </c>
    </row>
    <row r="11" spans="1:5" x14ac:dyDescent="0.3">
      <c r="A11" s="40" t="s">
        <v>172</v>
      </c>
      <c r="B11" s="40"/>
      <c r="C11" s="45">
        <f>C6</f>
        <v>3839742.0690000001</v>
      </c>
    </row>
    <row r="12" spans="1:5" x14ac:dyDescent="0.3">
      <c r="A12" s="54" t="s">
        <v>146</v>
      </c>
      <c r="B12" s="54"/>
      <c r="C12" s="55">
        <v>-2214929.0099999998</v>
      </c>
    </row>
    <row r="13" spans="1:5" x14ac:dyDescent="0.3">
      <c r="A13" t="s">
        <v>145</v>
      </c>
      <c r="C13" s="44">
        <f>-2559194</f>
        <v>-2559194</v>
      </c>
    </row>
    <row r="14" spans="1:5" ht="15" thickBot="1" x14ac:dyDescent="0.35">
      <c r="A14" t="s">
        <v>173</v>
      </c>
      <c r="C14" s="44">
        <f>B6+C12+C13+934381</f>
        <v>3711550.1900000004</v>
      </c>
    </row>
    <row r="15" spans="1:5" s="26" customFormat="1" x14ac:dyDescent="0.3">
      <c r="A15" s="46" t="s">
        <v>147</v>
      </c>
      <c r="B15" s="46"/>
      <c r="C15" s="47">
        <f>SUM(C11:C14)</f>
        <v>2777169.2490000008</v>
      </c>
      <c r="D15" s="56"/>
      <c r="E15" s="5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FD5FB-B2A9-4DD0-BC24-7B95EFB4DA08}">
  <sheetPr>
    <tabColor rgb="FF92D050"/>
    <pageSetUpPr fitToPage="1"/>
  </sheetPr>
  <dimension ref="A1:K19"/>
  <sheetViews>
    <sheetView zoomScale="80" zoomScaleNormal="80" workbookViewId="0">
      <selection activeCell="A8" sqref="A8:XFD8"/>
    </sheetView>
  </sheetViews>
  <sheetFormatPr defaultRowHeight="14.4" x14ac:dyDescent="0.3"/>
  <cols>
    <col min="1" max="1" width="15.77734375" customWidth="1"/>
    <col min="2" max="2" width="32.44140625" customWidth="1"/>
    <col min="3" max="3" width="20.77734375" customWidth="1"/>
    <col min="4" max="4" width="16.77734375" customWidth="1"/>
    <col min="5" max="5" width="15.5546875" customWidth="1"/>
    <col min="6" max="6" width="13.21875" customWidth="1"/>
    <col min="7" max="7" width="16.33203125" customWidth="1"/>
    <col min="8" max="8" width="13.21875" customWidth="1"/>
    <col min="9" max="9" width="44.44140625" customWidth="1"/>
    <col min="10" max="10" width="13.5546875" customWidth="1"/>
  </cols>
  <sheetData>
    <row r="1" spans="1:11" x14ac:dyDescent="0.3">
      <c r="A1" s="26" t="s">
        <v>126</v>
      </c>
    </row>
    <row r="2" spans="1:11" ht="79.8" x14ac:dyDescent="0.3">
      <c r="A2" s="1" t="s">
        <v>15</v>
      </c>
      <c r="B2" s="1" t="s">
        <v>16</v>
      </c>
      <c r="C2" s="1" t="s">
        <v>17</v>
      </c>
      <c r="D2" s="1" t="s">
        <v>139</v>
      </c>
      <c r="E2" s="1" t="s">
        <v>122</v>
      </c>
      <c r="F2" s="1" t="s">
        <v>123</v>
      </c>
      <c r="G2" s="1" t="s">
        <v>154</v>
      </c>
      <c r="H2" s="1" t="s">
        <v>157</v>
      </c>
      <c r="I2" s="1" t="s">
        <v>124</v>
      </c>
    </row>
    <row r="3" spans="1:11" s="9" customFormat="1" ht="26.4" x14ac:dyDescent="0.25">
      <c r="A3" s="2" t="s">
        <v>138</v>
      </c>
      <c r="B3" s="5" t="s">
        <v>0</v>
      </c>
      <c r="C3" s="2"/>
      <c r="D3" s="69">
        <v>24000</v>
      </c>
      <c r="E3" s="23">
        <v>0</v>
      </c>
      <c r="F3" s="23">
        <f>D3-E3</f>
        <v>24000</v>
      </c>
      <c r="G3" s="23"/>
      <c r="H3" s="23">
        <f t="shared" ref="H3:H6" si="0">D3+G3</f>
        <v>24000</v>
      </c>
      <c r="I3" s="3" t="s">
        <v>161</v>
      </c>
    </row>
    <row r="4" spans="1:11" s="9" customFormat="1" ht="66" x14ac:dyDescent="0.25">
      <c r="A4" s="6" t="s">
        <v>141</v>
      </c>
      <c r="B4" s="5" t="s">
        <v>1</v>
      </c>
      <c r="C4" s="6"/>
      <c r="D4" s="69">
        <v>480000</v>
      </c>
      <c r="E4" s="30">
        <v>272900.39999999997</v>
      </c>
      <c r="F4" s="23">
        <f>D4-E4</f>
        <v>207099.60000000003</v>
      </c>
      <c r="G4" s="23"/>
      <c r="H4" s="23">
        <f t="shared" si="0"/>
        <v>480000</v>
      </c>
      <c r="I4" s="63" t="s">
        <v>176</v>
      </c>
    </row>
    <row r="5" spans="1:11" s="9" customFormat="1" ht="39.6" x14ac:dyDescent="0.25">
      <c r="A5" s="2" t="s">
        <v>134</v>
      </c>
      <c r="B5" s="5" t="s">
        <v>3</v>
      </c>
      <c r="C5" s="2"/>
      <c r="D5" s="69">
        <v>240000</v>
      </c>
      <c r="E5" s="30">
        <v>24960</v>
      </c>
      <c r="F5" s="23">
        <f>D5-E5</f>
        <v>215040</v>
      </c>
      <c r="G5" s="23"/>
      <c r="H5" s="23">
        <f t="shared" si="0"/>
        <v>240000</v>
      </c>
      <c r="I5" s="4" t="s">
        <v>162</v>
      </c>
    </row>
    <row r="6" spans="1:11" s="9" customFormat="1" ht="13.8" x14ac:dyDescent="0.25">
      <c r="A6" s="2" t="s">
        <v>137</v>
      </c>
      <c r="B6" s="70" t="s">
        <v>4</v>
      </c>
      <c r="C6" s="2"/>
      <c r="D6" s="71">
        <v>120000</v>
      </c>
      <c r="E6" s="30">
        <v>0</v>
      </c>
      <c r="F6" s="23">
        <f>D6-E6</f>
        <v>120000</v>
      </c>
      <c r="G6" s="23"/>
      <c r="H6" s="23">
        <f t="shared" si="0"/>
        <v>120000</v>
      </c>
      <c r="I6" s="3"/>
    </row>
    <row r="7" spans="1:11" s="9" customFormat="1" ht="52.8" x14ac:dyDescent="0.25">
      <c r="A7" s="2" t="s">
        <v>135</v>
      </c>
      <c r="B7" s="72" t="s">
        <v>5</v>
      </c>
      <c r="C7" s="2"/>
      <c r="D7" s="73">
        <v>540000</v>
      </c>
      <c r="E7" s="28">
        <v>146402.54399999999</v>
      </c>
      <c r="F7" s="23">
        <f>D7-E7</f>
        <v>393597.45600000001</v>
      </c>
      <c r="G7" s="66">
        <v>-42000</v>
      </c>
      <c r="H7" s="23">
        <f>D7+G7</f>
        <v>498000</v>
      </c>
      <c r="I7" s="51" t="s">
        <v>160</v>
      </c>
    </row>
    <row r="8" spans="1:11" s="9" customFormat="1" ht="41.4" x14ac:dyDescent="0.25">
      <c r="A8" s="2" t="s">
        <v>136</v>
      </c>
      <c r="B8" s="74" t="s">
        <v>6</v>
      </c>
      <c r="C8" s="60"/>
      <c r="D8" s="73">
        <v>180000</v>
      </c>
      <c r="E8" s="23">
        <v>0</v>
      </c>
      <c r="F8" s="23">
        <f t="shared" ref="F8" si="1">D8-E8</f>
        <v>180000</v>
      </c>
      <c r="G8" s="66"/>
      <c r="H8" s="23">
        <f>D8+G8</f>
        <v>180000</v>
      </c>
      <c r="I8" s="3" t="s">
        <v>158</v>
      </c>
    </row>
    <row r="9" spans="1:11" s="9" customFormat="1" ht="13.8" x14ac:dyDescent="0.25">
      <c r="A9" s="2" t="s">
        <v>151</v>
      </c>
      <c r="B9" s="75" t="s">
        <v>152</v>
      </c>
      <c r="C9" s="2"/>
      <c r="D9" s="76"/>
      <c r="E9" s="23"/>
      <c r="F9" s="23"/>
      <c r="G9" s="66"/>
      <c r="H9" s="23"/>
      <c r="I9" s="3"/>
    </row>
    <row r="10" spans="1:11" s="9" customFormat="1" ht="13.8" x14ac:dyDescent="0.25">
      <c r="A10" s="11"/>
      <c r="B10" s="11" t="s">
        <v>8</v>
      </c>
      <c r="C10" s="11"/>
      <c r="D10" s="12">
        <f>SUM(D3:D8)</f>
        <v>1584000</v>
      </c>
      <c r="E10" s="12">
        <f>SUM(E3:E8)</f>
        <v>444262.94399999996</v>
      </c>
      <c r="F10" s="12">
        <f>SUM(F3:F8)</f>
        <v>1139737.0560000001</v>
      </c>
      <c r="G10" s="68">
        <f t="shared" ref="G10:H10" si="2">SUM(G3:G8)</f>
        <v>-42000</v>
      </c>
      <c r="H10" s="12">
        <f t="shared" si="2"/>
        <v>1542000</v>
      </c>
      <c r="I10" s="12"/>
    </row>
    <row r="11" spans="1:11" s="9" customFormat="1" ht="13.8" x14ac:dyDescent="0.25">
      <c r="G11" s="77"/>
    </row>
    <row r="12" spans="1:11" s="9" customFormat="1" ht="13.8" x14ac:dyDescent="0.25">
      <c r="A12" s="9" t="s">
        <v>127</v>
      </c>
    </row>
    <row r="13" spans="1:11" s="9" customFormat="1" ht="79.2" x14ac:dyDescent="0.25">
      <c r="A13" s="1" t="s">
        <v>15</v>
      </c>
      <c r="B13" s="1" t="s">
        <v>16</v>
      </c>
      <c r="C13" s="1" t="s">
        <v>17</v>
      </c>
      <c r="D13" s="1" t="s">
        <v>139</v>
      </c>
      <c r="E13" s="1" t="s">
        <v>122</v>
      </c>
      <c r="F13" s="1" t="s">
        <v>123</v>
      </c>
      <c r="G13" s="1" t="s">
        <v>154</v>
      </c>
      <c r="H13" s="1" t="s">
        <v>157</v>
      </c>
      <c r="I13" s="1" t="s">
        <v>124</v>
      </c>
    </row>
    <row r="14" spans="1:11" s="9" customFormat="1" ht="39.6" x14ac:dyDescent="0.25">
      <c r="A14" s="2" t="s">
        <v>140</v>
      </c>
      <c r="B14" s="78" t="s">
        <v>9</v>
      </c>
      <c r="C14" s="2"/>
      <c r="D14" s="79">
        <v>43722</v>
      </c>
      <c r="E14" s="28">
        <f>7078.09+5791.2</f>
        <v>12869.29</v>
      </c>
      <c r="F14" s="23">
        <f>D14-E14</f>
        <v>30852.71</v>
      </c>
      <c r="G14" s="23"/>
      <c r="H14" s="23">
        <f>D14+G14</f>
        <v>43722</v>
      </c>
      <c r="I14" s="25" t="s">
        <v>159</v>
      </c>
    </row>
    <row r="15" spans="1:11" s="9" customFormat="1" ht="149.55000000000001" customHeight="1" x14ac:dyDescent="0.25">
      <c r="A15" s="48" t="s">
        <v>142</v>
      </c>
      <c r="B15" s="78" t="s">
        <v>11</v>
      </c>
      <c r="C15" s="2"/>
      <c r="D15" s="79">
        <v>323696</v>
      </c>
      <c r="E15" s="29">
        <f>148989*1.2+80772</f>
        <v>259558.8</v>
      </c>
      <c r="F15" s="23">
        <f>D15-E15</f>
        <v>64137.200000000012</v>
      </c>
      <c r="G15" s="23"/>
      <c r="H15" s="23">
        <f>D15+G15</f>
        <v>323696</v>
      </c>
      <c r="I15" s="51" t="s">
        <v>163</v>
      </c>
      <c r="K15" s="80"/>
    </row>
    <row r="16" spans="1:11" s="9" customFormat="1" ht="13.8" x14ac:dyDescent="0.25">
      <c r="A16" s="11"/>
      <c r="B16" s="11" t="s">
        <v>8</v>
      </c>
      <c r="C16" s="11"/>
      <c r="D16" s="12">
        <f>SUM(D14:D15)</f>
        <v>367418</v>
      </c>
      <c r="E16" s="12">
        <f t="shared" ref="E16:H16" si="3">SUM(E14:E15)</f>
        <v>272428.08999999997</v>
      </c>
      <c r="F16" s="12">
        <f t="shared" si="3"/>
        <v>94989.91</v>
      </c>
      <c r="G16" s="12">
        <f t="shared" si="3"/>
        <v>0</v>
      </c>
      <c r="H16" s="12">
        <f t="shared" si="3"/>
        <v>367418</v>
      </c>
      <c r="I16" s="12"/>
    </row>
    <row r="19" spans="1:1" x14ac:dyDescent="0.3">
      <c r="A19" s="27"/>
    </row>
  </sheetData>
  <pageMargins left="0.25" right="0.25" top="0.75" bottom="0.75" header="0.3" footer="0.3"/>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ACF7B-414F-41B2-AE6C-D1E6C63FFDB4}">
  <sheetPr>
    <tabColor rgb="FF92D050"/>
  </sheetPr>
  <dimension ref="A2:L58"/>
  <sheetViews>
    <sheetView topLeftCell="B1" zoomScale="80" zoomScaleNormal="80" workbookViewId="0">
      <selection activeCell="L13" sqref="L13"/>
    </sheetView>
  </sheetViews>
  <sheetFormatPr defaultColWidth="9.21875" defaultRowHeight="13.8" outlineLevelCol="1" x14ac:dyDescent="0.25"/>
  <cols>
    <col min="1" max="1" width="24.5546875" style="9" customWidth="1"/>
    <col min="2" max="2" width="37.44140625" style="9" customWidth="1"/>
    <col min="3" max="3" width="54.44140625" style="9" customWidth="1"/>
    <col min="4" max="4" width="16.44140625" style="9" customWidth="1"/>
    <col min="5" max="6" width="16.44140625" style="9" customWidth="1" outlineLevel="1"/>
    <col min="7" max="7" width="18.109375" style="9" bestFit="1" customWidth="1"/>
    <col min="8" max="8" width="16.21875" style="9" bestFit="1" customWidth="1"/>
    <col min="9" max="10" width="16.21875" style="9" customWidth="1"/>
    <col min="11" max="12" width="63.5546875" style="9" customWidth="1"/>
    <col min="13" max="16384" width="9.21875" style="9"/>
  </cols>
  <sheetData>
    <row r="2" spans="1:12" ht="79.2" x14ac:dyDescent="0.25">
      <c r="A2" s="1" t="s">
        <v>15</v>
      </c>
      <c r="B2" s="1" t="s">
        <v>16</v>
      </c>
      <c r="C2" s="1" t="s">
        <v>17</v>
      </c>
      <c r="D2" s="1" t="s">
        <v>139</v>
      </c>
      <c r="E2" s="1" t="s">
        <v>150</v>
      </c>
      <c r="F2" s="1" t="s">
        <v>153</v>
      </c>
      <c r="G2" s="1" t="s">
        <v>122</v>
      </c>
      <c r="H2" s="1" t="s">
        <v>123</v>
      </c>
      <c r="I2" s="1" t="s">
        <v>154</v>
      </c>
      <c r="J2" s="1" t="s">
        <v>157</v>
      </c>
      <c r="K2" s="1" t="s">
        <v>124</v>
      </c>
      <c r="L2" s="1" t="s">
        <v>155</v>
      </c>
    </row>
    <row r="3" spans="1:12" ht="145.19999999999999" x14ac:dyDescent="0.25">
      <c r="A3" s="2" t="s">
        <v>18</v>
      </c>
      <c r="B3" s="2" t="s">
        <v>19</v>
      </c>
      <c r="C3" s="2" t="s">
        <v>20</v>
      </c>
      <c r="D3" s="50">
        <f>E3+F3</f>
        <v>249304.8</v>
      </c>
      <c r="E3" s="64">
        <v>249304.8</v>
      </c>
      <c r="F3" s="58"/>
      <c r="G3" s="58">
        <v>249304.22</v>
      </c>
      <c r="H3" s="64">
        <f>D3-G3</f>
        <v>0.57999999998719431</v>
      </c>
      <c r="I3" s="64"/>
      <c r="J3" s="64">
        <f>D3+I3</f>
        <v>249304.8</v>
      </c>
      <c r="K3" s="23" t="s">
        <v>179</v>
      </c>
      <c r="L3" s="23"/>
    </row>
    <row r="4" spans="1:12" ht="118.8" x14ac:dyDescent="0.25">
      <c r="A4" s="2" t="s">
        <v>21</v>
      </c>
      <c r="B4" s="2" t="s">
        <v>22</v>
      </c>
      <c r="C4" s="2" t="s">
        <v>23</v>
      </c>
      <c r="D4" s="50">
        <f t="shared" ref="D4:D30" si="0">E4+F4</f>
        <v>180000</v>
      </c>
      <c r="E4" s="64">
        <v>180000</v>
      </c>
      <c r="F4" s="58"/>
      <c r="G4" s="58">
        <v>24550.799999999999</v>
      </c>
      <c r="H4" s="64">
        <f>D4-G4</f>
        <v>155449.20000000001</v>
      </c>
      <c r="I4" s="64">
        <v>-84000</v>
      </c>
      <c r="J4" s="64">
        <f>D4+I4</f>
        <v>96000</v>
      </c>
      <c r="K4" s="24" t="s">
        <v>184</v>
      </c>
      <c r="L4" s="24" t="s">
        <v>185</v>
      </c>
    </row>
    <row r="5" spans="1:12" ht="92.4" x14ac:dyDescent="0.25">
      <c r="A5" s="2" t="s">
        <v>24</v>
      </c>
      <c r="B5" s="2" t="s">
        <v>25</v>
      </c>
      <c r="C5" s="2" t="s">
        <v>26</v>
      </c>
      <c r="D5" s="50">
        <f>E5+F5</f>
        <v>0</v>
      </c>
      <c r="E5" s="64">
        <v>180000</v>
      </c>
      <c r="F5" s="58">
        <v>-180000</v>
      </c>
      <c r="G5" s="58">
        <v>0</v>
      </c>
      <c r="H5" s="64">
        <f>D5-G5</f>
        <v>0</v>
      </c>
      <c r="I5" s="64"/>
      <c r="J5" s="64">
        <f>D5+I5</f>
        <v>0</v>
      </c>
      <c r="K5" s="23" t="s">
        <v>177</v>
      </c>
      <c r="L5" s="23"/>
    </row>
    <row r="6" spans="1:12" ht="52.8" x14ac:dyDescent="0.25">
      <c r="A6" s="2" t="s">
        <v>27</v>
      </c>
      <c r="B6" s="2" t="s">
        <v>28</v>
      </c>
      <c r="C6" s="2" t="s">
        <v>29</v>
      </c>
      <c r="D6" s="50">
        <f t="shared" si="0"/>
        <v>146679.6</v>
      </c>
      <c r="E6" s="64">
        <v>146679.6</v>
      </c>
      <c r="F6" s="58"/>
      <c r="G6" s="58">
        <v>146680.03</v>
      </c>
      <c r="H6" s="64">
        <f>D6-G6</f>
        <v>-0.42999999999301508</v>
      </c>
      <c r="I6" s="64"/>
      <c r="J6" s="64">
        <f>D6+I6</f>
        <v>146679.6</v>
      </c>
      <c r="K6" s="23" t="s">
        <v>178</v>
      </c>
      <c r="L6" s="23"/>
    </row>
    <row r="7" spans="1:12" ht="52.8" x14ac:dyDescent="0.25">
      <c r="A7" s="2" t="s">
        <v>30</v>
      </c>
      <c r="B7" s="2" t="s">
        <v>31</v>
      </c>
      <c r="C7" s="2" t="s">
        <v>32</v>
      </c>
      <c r="D7" s="50">
        <f t="shared" si="0"/>
        <v>296076</v>
      </c>
      <c r="E7" s="64">
        <v>296076</v>
      </c>
      <c r="F7" s="58"/>
      <c r="G7" s="58">
        <v>118430.39999999999</v>
      </c>
      <c r="H7" s="64">
        <f>D7-G7</f>
        <v>177645.6</v>
      </c>
      <c r="I7" s="66">
        <v>84000</v>
      </c>
      <c r="J7" s="64">
        <f>D7+I7</f>
        <v>380076</v>
      </c>
      <c r="K7" s="23" t="s">
        <v>192</v>
      </c>
      <c r="L7" s="23" t="s">
        <v>186</v>
      </c>
    </row>
    <row r="8" spans="1:12" ht="92.4" x14ac:dyDescent="0.25">
      <c r="A8" s="2" t="s">
        <v>33</v>
      </c>
      <c r="B8" s="2" t="s">
        <v>34</v>
      </c>
      <c r="C8" s="2" t="s">
        <v>35</v>
      </c>
      <c r="D8" s="50">
        <f t="shared" si="0"/>
        <v>456000</v>
      </c>
      <c r="E8" s="64">
        <v>180000</v>
      </c>
      <c r="F8" s="58">
        <f>50000*1.2+(150000+30000)*1.2</f>
        <v>276000</v>
      </c>
      <c r="G8" s="58">
        <v>247506.25</v>
      </c>
      <c r="H8" s="64">
        <f>D8-G8</f>
        <v>208493.75</v>
      </c>
      <c r="I8" s="66">
        <v>191406</v>
      </c>
      <c r="J8" s="64">
        <f>D8+I8</f>
        <v>647406</v>
      </c>
      <c r="K8" s="23" t="s">
        <v>193</v>
      </c>
      <c r="L8" s="23" t="s">
        <v>187</v>
      </c>
    </row>
    <row r="9" spans="1:12" ht="66" x14ac:dyDescent="0.25">
      <c r="A9" s="2" t="s">
        <v>36</v>
      </c>
      <c r="B9" s="2" t="s">
        <v>37</v>
      </c>
      <c r="C9" s="2" t="s">
        <v>38</v>
      </c>
      <c r="D9" s="50">
        <f t="shared" si="0"/>
        <v>36000</v>
      </c>
      <c r="E9" s="64">
        <v>36000</v>
      </c>
      <c r="F9" s="58"/>
      <c r="G9" s="58">
        <v>0</v>
      </c>
      <c r="H9" s="64">
        <f>D9-G9</f>
        <v>36000</v>
      </c>
      <c r="I9" s="64"/>
      <c r="J9" s="64">
        <f>D9+I9</f>
        <v>36000</v>
      </c>
      <c r="K9" s="25" t="s">
        <v>128</v>
      </c>
      <c r="L9" s="25"/>
    </row>
    <row r="10" spans="1:12" ht="105.6" x14ac:dyDescent="0.25">
      <c r="A10" s="2" t="s">
        <v>39</v>
      </c>
      <c r="B10" s="2" t="s">
        <v>40</v>
      </c>
      <c r="C10" s="2" t="s">
        <v>41</v>
      </c>
      <c r="D10" s="50">
        <f t="shared" si="0"/>
        <v>0</v>
      </c>
      <c r="E10" s="64">
        <v>60000</v>
      </c>
      <c r="F10" s="58">
        <f>-50000*1.2</f>
        <v>-60000</v>
      </c>
      <c r="G10" s="65">
        <v>0</v>
      </c>
      <c r="H10" s="64">
        <f>D10-G10</f>
        <v>0</v>
      </c>
      <c r="I10" s="64"/>
      <c r="J10" s="64">
        <f>D10+I10</f>
        <v>0</v>
      </c>
      <c r="K10" s="25"/>
      <c r="L10" s="25"/>
    </row>
    <row r="11" spans="1:12" ht="79.2" x14ac:dyDescent="0.25">
      <c r="A11" s="2" t="s">
        <v>42</v>
      </c>
      <c r="B11" s="2" t="s">
        <v>43</v>
      </c>
      <c r="C11" s="2" t="s">
        <v>44</v>
      </c>
      <c r="D11" s="50">
        <f t="shared" si="0"/>
        <v>0</v>
      </c>
      <c r="E11" s="64">
        <v>120000</v>
      </c>
      <c r="F11" s="58">
        <f>-100000*1.2</f>
        <v>-120000</v>
      </c>
      <c r="G11" s="65">
        <v>0</v>
      </c>
      <c r="H11" s="64">
        <f>D11-G11</f>
        <v>0</v>
      </c>
      <c r="I11" s="64"/>
      <c r="J11" s="64">
        <f>D11+I11</f>
        <v>0</v>
      </c>
      <c r="K11" s="25"/>
      <c r="L11" s="25"/>
    </row>
    <row r="12" spans="1:12" ht="52.8" x14ac:dyDescent="0.25">
      <c r="A12" s="4" t="s">
        <v>45</v>
      </c>
      <c r="B12" s="4" t="s">
        <v>46</v>
      </c>
      <c r="C12" s="4" t="s">
        <v>47</v>
      </c>
      <c r="D12" s="50">
        <f t="shared" si="0"/>
        <v>4996.8</v>
      </c>
      <c r="E12" s="66">
        <v>4996.8</v>
      </c>
      <c r="F12" s="59"/>
      <c r="G12" s="59">
        <v>1820.345</v>
      </c>
      <c r="H12" s="64">
        <f>D12-G12</f>
        <v>3176.4549999999999</v>
      </c>
      <c r="I12" s="64"/>
      <c r="J12" s="64">
        <f>D12+I12</f>
        <v>4996.8</v>
      </c>
      <c r="K12" s="25" t="s">
        <v>129</v>
      </c>
      <c r="L12" s="25"/>
    </row>
    <row r="13" spans="1:12" ht="79.2" x14ac:dyDescent="0.25">
      <c r="A13" s="2" t="s">
        <v>48</v>
      </c>
      <c r="B13" s="2" t="s">
        <v>49</v>
      </c>
      <c r="C13" s="2" t="s">
        <v>50</v>
      </c>
      <c r="D13" s="50">
        <f t="shared" si="0"/>
        <v>36000</v>
      </c>
      <c r="E13" s="64">
        <v>36000</v>
      </c>
      <c r="F13" s="58"/>
      <c r="G13" s="65">
        <v>0</v>
      </c>
      <c r="H13" s="64">
        <f>D13-G13</f>
        <v>36000</v>
      </c>
      <c r="I13" s="64">
        <v>-36000</v>
      </c>
      <c r="J13" s="64">
        <f>D13+I13</f>
        <v>0</v>
      </c>
      <c r="K13" s="25"/>
      <c r="L13" s="25" t="s">
        <v>194</v>
      </c>
    </row>
    <row r="14" spans="1:12" ht="66" x14ac:dyDescent="0.25">
      <c r="A14" s="2" t="s">
        <v>51</v>
      </c>
      <c r="B14" s="2" t="s">
        <v>52</v>
      </c>
      <c r="C14" s="2" t="s">
        <v>53</v>
      </c>
      <c r="D14" s="50">
        <f t="shared" si="0"/>
        <v>36000</v>
      </c>
      <c r="E14" s="64">
        <v>36000</v>
      </c>
      <c r="F14" s="58"/>
      <c r="G14" s="65">
        <v>0</v>
      </c>
      <c r="H14" s="64">
        <f>D14-G14</f>
        <v>36000</v>
      </c>
      <c r="I14" s="64">
        <f>-30000*1.2</f>
        <v>-36000</v>
      </c>
      <c r="J14" s="64">
        <f>D14+I14</f>
        <v>0</v>
      </c>
      <c r="K14" s="25"/>
      <c r="L14" s="25" t="s">
        <v>156</v>
      </c>
    </row>
    <row r="15" spans="1:12" ht="66" x14ac:dyDescent="0.25">
      <c r="A15" s="2" t="s">
        <v>54</v>
      </c>
      <c r="B15" s="2" t="s">
        <v>55</v>
      </c>
      <c r="C15" s="2" t="s">
        <v>56</v>
      </c>
      <c r="D15" s="50">
        <f t="shared" si="0"/>
        <v>0</v>
      </c>
      <c r="E15" s="64">
        <v>36000</v>
      </c>
      <c r="F15" s="58">
        <v>-36000</v>
      </c>
      <c r="G15" s="65">
        <v>0</v>
      </c>
      <c r="H15" s="64">
        <f>D15-G15</f>
        <v>0</v>
      </c>
      <c r="I15" s="64"/>
      <c r="J15" s="64">
        <f>D15+I15</f>
        <v>0</v>
      </c>
      <c r="K15" s="25"/>
      <c r="L15" s="25"/>
    </row>
    <row r="16" spans="1:12" ht="92.4" x14ac:dyDescent="0.25">
      <c r="A16" s="2" t="s">
        <v>57</v>
      </c>
      <c r="B16" s="2" t="s">
        <v>58</v>
      </c>
      <c r="C16" s="2" t="s">
        <v>59</v>
      </c>
      <c r="D16" s="50">
        <f t="shared" si="0"/>
        <v>204000</v>
      </c>
      <c r="E16" s="64">
        <v>84000</v>
      </c>
      <c r="F16" s="59">
        <f>100000*1.2</f>
        <v>120000</v>
      </c>
      <c r="G16" s="58">
        <v>93153.36</v>
      </c>
      <c r="H16" s="64">
        <f>D16-G16</f>
        <v>110846.64</v>
      </c>
      <c r="I16" s="64"/>
      <c r="J16" s="64">
        <f>D16+I16</f>
        <v>204000</v>
      </c>
      <c r="K16" s="25" t="s">
        <v>180</v>
      </c>
      <c r="L16" s="25"/>
    </row>
    <row r="17" spans="1:12" ht="92.4" x14ac:dyDescent="0.25">
      <c r="A17" s="2" t="s">
        <v>60</v>
      </c>
      <c r="B17" s="2" t="s">
        <v>61</v>
      </c>
      <c r="C17" s="2" t="s">
        <v>62</v>
      </c>
      <c r="D17" s="50">
        <f t="shared" si="0"/>
        <v>36000</v>
      </c>
      <c r="E17" s="64">
        <v>36000</v>
      </c>
      <c r="F17" s="58"/>
      <c r="G17" s="58">
        <v>22821.26</v>
      </c>
      <c r="H17" s="64">
        <f>D17-G17</f>
        <v>13178.740000000002</v>
      </c>
      <c r="I17" s="64"/>
      <c r="J17" s="64">
        <f>D17+I17</f>
        <v>36000</v>
      </c>
      <c r="K17" s="25" t="s">
        <v>181</v>
      </c>
      <c r="L17" s="25"/>
    </row>
    <row r="18" spans="1:12" ht="145.19999999999999" x14ac:dyDescent="0.25">
      <c r="A18" s="2" t="s">
        <v>63</v>
      </c>
      <c r="B18" s="2" t="s">
        <v>64</v>
      </c>
      <c r="C18" s="2" t="s">
        <v>65</v>
      </c>
      <c r="D18" s="50">
        <f t="shared" si="0"/>
        <v>120000</v>
      </c>
      <c r="E18" s="66">
        <v>120000</v>
      </c>
      <c r="F18" s="59"/>
      <c r="G18" s="58">
        <v>8148.72</v>
      </c>
      <c r="H18" s="64">
        <f>D18-G18</f>
        <v>111851.28</v>
      </c>
      <c r="I18" s="64">
        <v>-48000</v>
      </c>
      <c r="J18" s="64">
        <f>D18+I18</f>
        <v>72000</v>
      </c>
      <c r="K18" s="25" t="s">
        <v>182</v>
      </c>
      <c r="L18" s="25" t="s">
        <v>188</v>
      </c>
    </row>
    <row r="19" spans="1:12" ht="39.6" x14ac:dyDescent="0.25">
      <c r="A19" s="2" t="s">
        <v>66</v>
      </c>
      <c r="B19" s="2" t="s">
        <v>67</v>
      </c>
      <c r="C19" s="2" t="s">
        <v>68</v>
      </c>
      <c r="D19" s="50">
        <f t="shared" si="0"/>
        <v>18000</v>
      </c>
      <c r="E19" s="64">
        <v>18000</v>
      </c>
      <c r="F19" s="58"/>
      <c r="G19" s="65">
        <v>0</v>
      </c>
      <c r="H19" s="64">
        <f>D19-G19</f>
        <v>18000</v>
      </c>
      <c r="I19" s="64">
        <f>-15000*1.2</f>
        <v>-18000</v>
      </c>
      <c r="J19" s="64">
        <f>D19+I19</f>
        <v>0</v>
      </c>
      <c r="K19" s="25" t="s">
        <v>183</v>
      </c>
      <c r="L19" s="25" t="s">
        <v>189</v>
      </c>
    </row>
    <row r="20" spans="1:12" ht="66" x14ac:dyDescent="0.25">
      <c r="A20" s="2" t="s">
        <v>69</v>
      </c>
      <c r="B20" s="2" t="s">
        <v>70</v>
      </c>
      <c r="C20" s="2" t="s">
        <v>71</v>
      </c>
      <c r="D20" s="50">
        <f t="shared" si="0"/>
        <v>60000</v>
      </c>
      <c r="E20" s="64">
        <v>60000</v>
      </c>
      <c r="F20" s="58"/>
      <c r="G20" s="58">
        <v>42594.23</v>
      </c>
      <c r="H20" s="64">
        <f>D20-G20</f>
        <v>17405.769999999997</v>
      </c>
      <c r="I20" s="64">
        <f>-14505*1.2</f>
        <v>-17406</v>
      </c>
      <c r="J20" s="64">
        <f>D20+I20</f>
        <v>42594</v>
      </c>
      <c r="K20" s="25" t="s">
        <v>191</v>
      </c>
      <c r="L20" s="25" t="s">
        <v>190</v>
      </c>
    </row>
    <row r="21" spans="1:12" ht="79.2" x14ac:dyDescent="0.25">
      <c r="A21" s="2" t="s">
        <v>72</v>
      </c>
      <c r="B21" s="2" t="s">
        <v>73</v>
      </c>
      <c r="C21" s="2" t="s">
        <v>74</v>
      </c>
      <c r="D21" s="50">
        <f t="shared" si="0"/>
        <v>60000</v>
      </c>
      <c r="E21" s="64">
        <v>60000</v>
      </c>
      <c r="F21" s="58"/>
      <c r="G21" s="65">
        <v>0</v>
      </c>
      <c r="H21" s="64">
        <f>D21-G21</f>
        <v>60000</v>
      </c>
      <c r="I21" s="64">
        <v>-60000</v>
      </c>
      <c r="J21" s="64">
        <f>D21+I21</f>
        <v>0</v>
      </c>
      <c r="K21" s="25"/>
      <c r="L21" s="25" t="s">
        <v>197</v>
      </c>
    </row>
    <row r="22" spans="1:12" ht="105.6" x14ac:dyDescent="0.25">
      <c r="A22" s="2" t="s">
        <v>75</v>
      </c>
      <c r="B22" s="2" t="s">
        <v>76</v>
      </c>
      <c r="C22" s="2" t="s">
        <v>77</v>
      </c>
      <c r="D22" s="50">
        <f t="shared" si="0"/>
        <v>360000</v>
      </c>
      <c r="E22" s="64">
        <v>360000</v>
      </c>
      <c r="F22" s="58"/>
      <c r="G22" s="58">
        <v>4790.3999999999996</v>
      </c>
      <c r="H22" s="64">
        <f>D22-G22</f>
        <v>355209.6</v>
      </c>
      <c r="I22" s="64">
        <v>-36000</v>
      </c>
      <c r="J22" s="64">
        <f>D22+I22</f>
        <v>324000</v>
      </c>
      <c r="K22" s="25" t="s">
        <v>175</v>
      </c>
      <c r="L22" s="25"/>
    </row>
    <row r="23" spans="1:12" ht="79.2" x14ac:dyDescent="0.25">
      <c r="A23" s="2" t="s">
        <v>78</v>
      </c>
      <c r="B23" s="2" t="s">
        <v>79</v>
      </c>
      <c r="C23" s="2" t="s">
        <v>80</v>
      </c>
      <c r="D23" s="50">
        <f t="shared" si="0"/>
        <v>76680</v>
      </c>
      <c r="E23" s="64">
        <v>60000</v>
      </c>
      <c r="F23" s="58">
        <f>13900*1.2</f>
        <v>16680</v>
      </c>
      <c r="G23" s="58">
        <v>76680</v>
      </c>
      <c r="H23" s="66">
        <f>D23-G23</f>
        <v>0</v>
      </c>
      <c r="I23" s="66"/>
      <c r="J23" s="64">
        <f>D23+I23</f>
        <v>76680</v>
      </c>
      <c r="K23" s="25" t="s">
        <v>149</v>
      </c>
      <c r="L23" s="25"/>
    </row>
    <row r="24" spans="1:12" ht="52.8" x14ac:dyDescent="0.25">
      <c r="A24" s="2" t="s">
        <v>81</v>
      </c>
      <c r="B24" s="2" t="s">
        <v>82</v>
      </c>
      <c r="C24" s="2" t="s">
        <v>83</v>
      </c>
      <c r="D24" s="50">
        <f t="shared" si="0"/>
        <v>60000</v>
      </c>
      <c r="E24" s="64">
        <v>60000</v>
      </c>
      <c r="F24" s="58"/>
      <c r="G24" s="58">
        <v>33750</v>
      </c>
      <c r="H24" s="64">
        <f>D24-G24</f>
        <v>26250</v>
      </c>
      <c r="I24" s="64"/>
      <c r="J24" s="64">
        <f>D24+I24</f>
        <v>60000</v>
      </c>
      <c r="K24" s="25" t="s">
        <v>130</v>
      </c>
      <c r="L24" s="25"/>
    </row>
    <row r="25" spans="1:12" ht="52.8" x14ac:dyDescent="0.25">
      <c r="A25" s="2" t="s">
        <v>84</v>
      </c>
      <c r="B25" s="2" t="s">
        <v>85</v>
      </c>
      <c r="C25" s="2" t="s">
        <v>86</v>
      </c>
      <c r="D25" s="50">
        <f t="shared" si="0"/>
        <v>103320</v>
      </c>
      <c r="E25" s="64">
        <v>120000</v>
      </c>
      <c r="F25" s="58">
        <f>-13900*1.2</f>
        <v>-16680</v>
      </c>
      <c r="G25" s="58">
        <v>44412.639999999999</v>
      </c>
      <c r="H25" s="64">
        <f>D25-G25</f>
        <v>58907.360000000001</v>
      </c>
      <c r="I25" s="64"/>
      <c r="J25" s="64">
        <f>D25+I25</f>
        <v>103320</v>
      </c>
      <c r="K25" s="25" t="s">
        <v>131</v>
      </c>
      <c r="L25" s="25"/>
    </row>
    <row r="26" spans="1:12" ht="92.4" x14ac:dyDescent="0.25">
      <c r="A26" s="2" t="s">
        <v>87</v>
      </c>
      <c r="B26" s="2" t="s">
        <v>88</v>
      </c>
      <c r="C26" s="2" t="s">
        <v>89</v>
      </c>
      <c r="D26" s="50">
        <f t="shared" si="0"/>
        <v>120000</v>
      </c>
      <c r="E26" s="64">
        <v>120000</v>
      </c>
      <c r="F26" s="58"/>
      <c r="G26" s="58">
        <v>105487.38</v>
      </c>
      <c r="H26" s="64">
        <f>D26-G26</f>
        <v>14512.619999999995</v>
      </c>
      <c r="I26" s="64"/>
      <c r="J26" s="64">
        <f>D26+I26</f>
        <v>120000</v>
      </c>
      <c r="K26" s="25" t="s">
        <v>174</v>
      </c>
      <c r="L26" s="25"/>
    </row>
    <row r="27" spans="1:12" ht="26.4" x14ac:dyDescent="0.25">
      <c r="A27" s="2" t="s">
        <v>90</v>
      </c>
      <c r="B27" s="2" t="s">
        <v>91</v>
      </c>
      <c r="C27" s="2" t="s">
        <v>92</v>
      </c>
      <c r="D27" s="50">
        <f t="shared" si="0"/>
        <v>36000</v>
      </c>
      <c r="E27" s="64">
        <v>36000</v>
      </c>
      <c r="F27" s="58"/>
      <c r="G27" s="58">
        <v>34200</v>
      </c>
      <c r="H27" s="64">
        <f>D27-G27</f>
        <v>1800</v>
      </c>
      <c r="I27" s="64"/>
      <c r="J27" s="64">
        <f>D27+I27</f>
        <v>36000</v>
      </c>
      <c r="K27" s="25" t="s">
        <v>132</v>
      </c>
      <c r="L27" s="25"/>
    </row>
    <row r="28" spans="1:12" ht="39.6" x14ac:dyDescent="0.25">
      <c r="A28" s="2" t="s">
        <v>93</v>
      </c>
      <c r="B28" s="2" t="s">
        <v>94</v>
      </c>
      <c r="C28" s="2" t="s">
        <v>95</v>
      </c>
      <c r="D28" s="50">
        <f t="shared" si="0"/>
        <v>60000</v>
      </c>
      <c r="E28" s="66">
        <v>60000</v>
      </c>
      <c r="F28" s="59"/>
      <c r="G28" s="65">
        <v>53484</v>
      </c>
      <c r="H28" s="64">
        <f>D28-G28</f>
        <v>6516</v>
      </c>
      <c r="I28" s="64"/>
      <c r="J28" s="64">
        <f>D28+I28</f>
        <v>60000</v>
      </c>
      <c r="K28" s="25" t="s">
        <v>133</v>
      </c>
      <c r="L28" s="25"/>
    </row>
    <row r="29" spans="1:12" ht="39.6" x14ac:dyDescent="0.25">
      <c r="A29" s="2"/>
      <c r="B29" s="2" t="s">
        <v>198</v>
      </c>
      <c r="C29" s="2" t="s">
        <v>199</v>
      </c>
      <c r="D29" s="50">
        <v>96000</v>
      </c>
      <c r="E29" s="66"/>
      <c r="F29" s="59"/>
      <c r="G29" s="65"/>
      <c r="H29" s="64"/>
      <c r="I29" s="66">
        <v>96000</v>
      </c>
      <c r="J29" s="64">
        <v>96000</v>
      </c>
      <c r="K29" s="25"/>
      <c r="L29" s="25" t="s">
        <v>200</v>
      </c>
    </row>
    <row r="30" spans="1:12" x14ac:dyDescent="0.25">
      <c r="A30" s="2"/>
      <c r="B30" s="2" t="s">
        <v>125</v>
      </c>
      <c r="C30" s="2"/>
      <c r="D30" s="50">
        <f t="shared" si="0"/>
        <v>1362761</v>
      </c>
      <c r="E30" s="66">
        <v>1362761</v>
      </c>
      <c r="F30" s="59"/>
      <c r="G30" s="65">
        <v>871491</v>
      </c>
      <c r="H30" s="64">
        <f>D30-G30</f>
        <v>491270</v>
      </c>
      <c r="I30" s="64"/>
      <c r="J30" s="64">
        <f>D30+I30</f>
        <v>1362761</v>
      </c>
      <c r="K30" s="25"/>
      <c r="L30" s="25"/>
    </row>
    <row r="31" spans="1:12" x14ac:dyDescent="0.25">
      <c r="A31" s="5"/>
      <c r="B31" s="15" t="s">
        <v>8</v>
      </c>
      <c r="C31" s="15"/>
      <c r="D31" s="67">
        <f>SUM(D3:D30)</f>
        <v>4213818.2</v>
      </c>
      <c r="E31" s="67">
        <f t="shared" ref="E31" si="1">SUM(E3:E30)</f>
        <v>4117818.2</v>
      </c>
      <c r="F31" s="67">
        <f>SUM(F3:F30)</f>
        <v>0</v>
      </c>
      <c r="G31" s="67">
        <f>SUM(G3:G30)</f>
        <v>2179305.0350000001</v>
      </c>
      <c r="H31" s="67">
        <f>SUM(H3:H30)</f>
        <v>1938513.165</v>
      </c>
      <c r="I31" s="67">
        <f>SUM(I3:I30)</f>
        <v>36000</v>
      </c>
      <c r="J31" s="67">
        <f>SUM(J3:J30)</f>
        <v>4153818.2</v>
      </c>
      <c r="K31" s="16"/>
      <c r="L31" s="16"/>
    </row>
    <row r="32" spans="1:12" x14ac:dyDescent="0.25">
      <c r="G32" s="17"/>
    </row>
    <row r="33" spans="4:6" x14ac:dyDescent="0.25">
      <c r="D33" s="17"/>
      <c r="E33" s="17"/>
      <c r="F33" s="17"/>
    </row>
    <row r="53" spans="2:3" x14ac:dyDescent="0.25">
      <c r="B53" s="21"/>
      <c r="C53" s="21"/>
    </row>
    <row r="54" spans="2:3" x14ac:dyDescent="0.25">
      <c r="B54" s="21"/>
      <c r="C54" s="21"/>
    </row>
    <row r="55" spans="2:3" x14ac:dyDescent="0.25">
      <c r="B55" s="21"/>
      <c r="C55" s="21"/>
    </row>
    <row r="56" spans="2:3" x14ac:dyDescent="0.25">
      <c r="B56" s="21"/>
      <c r="C56" s="21"/>
    </row>
    <row r="57" spans="2:3" x14ac:dyDescent="0.25">
      <c r="B57" s="21"/>
      <c r="C57" s="21"/>
    </row>
    <row r="58" spans="2:3" x14ac:dyDescent="0.25">
      <c r="B58" s="21"/>
      <c r="C58" s="21"/>
    </row>
  </sheetData>
  <autoFilter ref="A2:H32" xr:uid="{F6AACF7B-414F-41B2-AE6C-D1E6C63FFDB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68BA3-E2D9-4836-B57C-9E4F56870A53}">
  <sheetPr>
    <tabColor rgb="FF92D050"/>
  </sheetPr>
  <dimension ref="A2:M29"/>
  <sheetViews>
    <sheetView topLeftCell="B1" zoomScale="80" zoomScaleNormal="80" workbookViewId="0">
      <selection activeCell="D6" sqref="D6"/>
    </sheetView>
  </sheetViews>
  <sheetFormatPr defaultColWidth="33.77734375" defaultRowHeight="13.8" outlineLevelCol="1" x14ac:dyDescent="0.25"/>
  <cols>
    <col min="1" max="1" width="10.5546875" style="9" bestFit="1" customWidth="1"/>
    <col min="2" max="2" width="33" style="9" bestFit="1" customWidth="1"/>
    <col min="3" max="3" width="45.44140625" style="9" customWidth="1"/>
    <col min="4" max="4" width="20.21875" style="9" bestFit="1" customWidth="1"/>
    <col min="5" max="5" width="18.21875" style="9" customWidth="1" outlineLevel="1"/>
    <col min="6" max="6" width="14.33203125" style="9" customWidth="1" outlineLevel="1"/>
    <col min="7" max="10" width="20.77734375" style="9" customWidth="1"/>
    <col min="11" max="11" width="77.5546875" style="9" customWidth="1"/>
    <col min="12" max="12" width="19.44140625" style="9" hidden="1" customWidth="1"/>
    <col min="13" max="13" width="48.77734375" style="9" customWidth="1"/>
    <col min="14" max="16384" width="33.77734375" style="9"/>
  </cols>
  <sheetData>
    <row r="2" spans="1:13" ht="66" x14ac:dyDescent="0.25">
      <c r="A2" s="1" t="s">
        <v>15</v>
      </c>
      <c r="B2" s="1" t="s">
        <v>16</v>
      </c>
      <c r="C2" s="1" t="s">
        <v>17</v>
      </c>
      <c r="D2" s="1" t="s">
        <v>139</v>
      </c>
      <c r="E2" s="1" t="s">
        <v>150</v>
      </c>
      <c r="F2" s="1" t="s">
        <v>153</v>
      </c>
      <c r="G2" s="1" t="s">
        <v>122</v>
      </c>
      <c r="H2" s="1" t="s">
        <v>123</v>
      </c>
      <c r="I2" s="1" t="s">
        <v>154</v>
      </c>
      <c r="J2" s="1" t="s">
        <v>157</v>
      </c>
      <c r="K2" s="1" t="s">
        <v>124</v>
      </c>
      <c r="L2" s="1" t="s">
        <v>96</v>
      </c>
      <c r="M2" s="1" t="s">
        <v>155</v>
      </c>
    </row>
    <row r="3" spans="1:13" ht="39.6" x14ac:dyDescent="0.25">
      <c r="A3" s="2" t="s">
        <v>97</v>
      </c>
      <c r="B3" s="2" t="s">
        <v>98</v>
      </c>
      <c r="C3" s="2" t="s">
        <v>100</v>
      </c>
      <c r="D3" s="3">
        <f>E3+F3</f>
        <v>60000</v>
      </c>
      <c r="E3" s="2">
        <v>60000</v>
      </c>
      <c r="F3" s="2"/>
      <c r="G3" s="30">
        <v>22086</v>
      </c>
      <c r="H3" s="23">
        <f>D3-G3</f>
        <v>37914</v>
      </c>
      <c r="I3" s="66">
        <v>-30000</v>
      </c>
      <c r="J3" s="23">
        <f>D3+I3</f>
        <v>30000</v>
      </c>
      <c r="K3" s="52" t="s">
        <v>168</v>
      </c>
      <c r="L3" s="5" t="s">
        <v>99</v>
      </c>
      <c r="M3" s="49" t="s">
        <v>195</v>
      </c>
    </row>
    <row r="4" spans="1:13" s="10" customFormat="1" ht="39.6" x14ac:dyDescent="0.25">
      <c r="A4" s="6" t="s">
        <v>101</v>
      </c>
      <c r="B4" s="6" t="s">
        <v>102</v>
      </c>
      <c r="C4" s="6" t="s">
        <v>103</v>
      </c>
      <c r="D4" s="3">
        <f t="shared" ref="D4:D11" si="0">E4+F4</f>
        <v>84000</v>
      </c>
      <c r="E4" s="6">
        <v>84000</v>
      </c>
      <c r="F4" s="6"/>
      <c r="G4" s="30">
        <v>55546</v>
      </c>
      <c r="H4" s="23">
        <f>D4-G4</f>
        <v>28454</v>
      </c>
      <c r="I4" s="66"/>
      <c r="J4" s="23">
        <f>D4+I4</f>
        <v>84000</v>
      </c>
      <c r="K4" s="24" t="s">
        <v>167</v>
      </c>
      <c r="L4" s="7" t="s">
        <v>7</v>
      </c>
      <c r="M4" s="24"/>
    </row>
    <row r="5" spans="1:13" ht="69" x14ac:dyDescent="0.25">
      <c r="A5" s="2" t="s">
        <v>104</v>
      </c>
      <c r="B5" s="2" t="s">
        <v>105</v>
      </c>
      <c r="C5" s="2" t="s">
        <v>106</v>
      </c>
      <c r="D5" s="3">
        <f>E5+F5</f>
        <v>0</v>
      </c>
      <c r="E5" s="2">
        <v>12000</v>
      </c>
      <c r="F5" s="2">
        <f>-10000*1.2</f>
        <v>-12000</v>
      </c>
      <c r="G5" s="30">
        <v>0</v>
      </c>
      <c r="H5" s="23">
        <f>D5-G5</f>
        <v>0</v>
      </c>
      <c r="I5" s="66"/>
      <c r="J5" s="23">
        <f>D5+I5</f>
        <v>0</v>
      </c>
      <c r="K5" s="53" t="s">
        <v>166</v>
      </c>
      <c r="L5" s="5" t="s">
        <v>7</v>
      </c>
      <c r="M5" s="23"/>
    </row>
    <row r="6" spans="1:13" ht="66" x14ac:dyDescent="0.25">
      <c r="A6" s="2" t="s">
        <v>107</v>
      </c>
      <c r="B6" s="2" t="s">
        <v>108</v>
      </c>
      <c r="C6" s="2" t="s">
        <v>110</v>
      </c>
      <c r="D6" s="3">
        <f t="shared" si="0"/>
        <v>30000</v>
      </c>
      <c r="E6" s="2">
        <v>30000</v>
      </c>
      <c r="F6" s="2"/>
      <c r="G6" s="30">
        <v>26652</v>
      </c>
      <c r="H6" s="23">
        <f>D6-G6</f>
        <v>3348</v>
      </c>
      <c r="I6" s="66"/>
      <c r="J6" s="23">
        <f>D6+I6</f>
        <v>30000</v>
      </c>
      <c r="K6" s="23" t="s">
        <v>171</v>
      </c>
      <c r="L6" s="5" t="s">
        <v>109</v>
      </c>
      <c r="M6" s="23"/>
    </row>
    <row r="7" spans="1:13" ht="66" x14ac:dyDescent="0.25">
      <c r="A7" s="2" t="s">
        <v>111</v>
      </c>
      <c r="B7" s="2" t="s">
        <v>112</v>
      </c>
      <c r="C7" s="2" t="s">
        <v>120</v>
      </c>
      <c r="D7" s="3">
        <f t="shared" si="0"/>
        <v>60000</v>
      </c>
      <c r="E7" s="2">
        <v>60000</v>
      </c>
      <c r="F7" s="2"/>
      <c r="G7" s="30">
        <v>18486</v>
      </c>
      <c r="H7" s="23">
        <f>D7-G7</f>
        <v>41514</v>
      </c>
      <c r="I7" s="66">
        <f>-30000*1.2</f>
        <v>-36000</v>
      </c>
      <c r="J7" s="23">
        <f>D7+I7</f>
        <v>24000</v>
      </c>
      <c r="K7" s="23" t="s">
        <v>164</v>
      </c>
      <c r="L7" s="2" t="s">
        <v>2</v>
      </c>
      <c r="M7" s="23" t="s">
        <v>196</v>
      </c>
    </row>
    <row r="8" spans="1:13" ht="198" x14ac:dyDescent="0.25">
      <c r="A8" s="2" t="s">
        <v>113</v>
      </c>
      <c r="B8" s="2" t="s">
        <v>114</v>
      </c>
      <c r="C8" s="2" t="s">
        <v>116</v>
      </c>
      <c r="D8" s="3">
        <f t="shared" si="0"/>
        <v>186000</v>
      </c>
      <c r="E8" s="2">
        <v>186000</v>
      </c>
      <c r="F8" s="2"/>
      <c r="G8" s="30">
        <v>101970</v>
      </c>
      <c r="H8" s="23">
        <f>D8-G8</f>
        <v>84030</v>
      </c>
      <c r="I8" s="66">
        <v>-72000</v>
      </c>
      <c r="J8" s="23">
        <f>D8+I8</f>
        <v>114000</v>
      </c>
      <c r="K8" s="61" t="s">
        <v>165</v>
      </c>
      <c r="L8" s="5" t="s">
        <v>115</v>
      </c>
      <c r="M8" s="23" t="s">
        <v>201</v>
      </c>
    </row>
    <row r="9" spans="1:13" ht="132" x14ac:dyDescent="0.25">
      <c r="A9" s="2" t="s">
        <v>117</v>
      </c>
      <c r="B9" s="2" t="s">
        <v>118</v>
      </c>
      <c r="C9" s="2" t="s">
        <v>121</v>
      </c>
      <c r="D9" s="3">
        <f>E9+F9</f>
        <v>306000</v>
      </c>
      <c r="E9" s="2">
        <v>390000</v>
      </c>
      <c r="F9" s="2">
        <f>-70000*1.2</f>
        <v>-84000</v>
      </c>
      <c r="G9" s="30">
        <v>220470</v>
      </c>
      <c r="H9" s="23">
        <f>D9-G9</f>
        <v>85530</v>
      </c>
      <c r="I9" s="66"/>
      <c r="J9" s="23">
        <f>D9+I9</f>
        <v>306000</v>
      </c>
      <c r="K9" s="51" t="s">
        <v>169</v>
      </c>
      <c r="L9" s="5" t="s">
        <v>119</v>
      </c>
      <c r="M9" s="25"/>
    </row>
    <row r="10" spans="1:13" ht="67.8" customHeight="1" x14ac:dyDescent="0.25">
      <c r="A10" s="2" t="s">
        <v>151</v>
      </c>
      <c r="B10" s="2" t="s">
        <v>152</v>
      </c>
      <c r="C10" s="2"/>
      <c r="D10" s="3">
        <f t="shared" si="0"/>
        <v>96000</v>
      </c>
      <c r="E10" s="2">
        <v>0</v>
      </c>
      <c r="F10" s="50">
        <f>80000*1.2</f>
        <v>96000</v>
      </c>
      <c r="G10" s="29">
        <v>86111</v>
      </c>
      <c r="H10" s="23">
        <f>D10-G10</f>
        <v>9889</v>
      </c>
      <c r="I10" s="66">
        <f>-(I3+I8+I9+Arendusprojektid!G7)</f>
        <v>144000</v>
      </c>
      <c r="J10" s="23">
        <f>D10+I10</f>
        <v>240000</v>
      </c>
      <c r="K10" s="62" t="s">
        <v>170</v>
      </c>
      <c r="L10" s="5"/>
      <c r="M10" s="25"/>
    </row>
    <row r="11" spans="1:13" x14ac:dyDescent="0.25">
      <c r="A11" s="2"/>
      <c r="B11" s="2" t="s">
        <v>125</v>
      </c>
      <c r="C11" s="2"/>
      <c r="D11" s="3">
        <f t="shared" si="0"/>
        <v>564056</v>
      </c>
      <c r="E11" s="2">
        <v>564056</v>
      </c>
      <c r="F11" s="2"/>
      <c r="G11" s="29">
        <v>412425</v>
      </c>
      <c r="H11" s="23">
        <f>D11-G11</f>
        <v>151631</v>
      </c>
      <c r="I11" s="57"/>
      <c r="J11" s="23">
        <f>D11+I11</f>
        <v>564056</v>
      </c>
      <c r="K11" s="25"/>
      <c r="L11" s="5"/>
      <c r="M11" s="57"/>
    </row>
    <row r="12" spans="1:13" s="13" customFormat="1" x14ac:dyDescent="0.25">
      <c r="A12" s="11"/>
      <c r="B12" s="11" t="s">
        <v>8</v>
      </c>
      <c r="C12" s="11"/>
      <c r="D12" s="12">
        <f>SUM(D3:D11)</f>
        <v>1386056</v>
      </c>
      <c r="E12" s="12">
        <f t="shared" ref="E12:F12" si="1">SUM(E3:E11)</f>
        <v>1386056</v>
      </c>
      <c r="F12" s="12">
        <f t="shared" si="1"/>
        <v>0</v>
      </c>
      <c r="G12" s="12">
        <f>SUM(G3:G11)</f>
        <v>943746</v>
      </c>
      <c r="H12" s="12">
        <f>SUM(H3:H11)</f>
        <v>442310</v>
      </c>
      <c r="I12" s="12">
        <f>SUM(I3:I11)</f>
        <v>6000</v>
      </c>
      <c r="J12" s="12">
        <f>SUM(J3:J11)</f>
        <v>1392056</v>
      </c>
      <c r="K12" s="12"/>
      <c r="L12" s="11"/>
      <c r="M12" s="12"/>
    </row>
    <row r="14" spans="1:13" x14ac:dyDescent="0.25">
      <c r="D14" s="22"/>
      <c r="G14" s="22"/>
      <c r="H14" s="22"/>
      <c r="I14" s="22"/>
      <c r="J14" s="22"/>
      <c r="K14" s="22"/>
      <c r="M14" s="22"/>
    </row>
    <row r="16" spans="1:13" x14ac:dyDescent="0.25">
      <c r="L16" s="8"/>
    </row>
    <row r="17" spans="1:12" x14ac:dyDescent="0.25">
      <c r="L17" s="8"/>
    </row>
    <row r="18" spans="1:12" x14ac:dyDescent="0.25">
      <c r="L18" s="8"/>
    </row>
    <row r="19" spans="1:12" x14ac:dyDescent="0.25">
      <c r="L19" s="8"/>
    </row>
    <row r="20" spans="1:12" x14ac:dyDescent="0.25">
      <c r="L20" s="8"/>
    </row>
    <row r="21" spans="1:12" x14ac:dyDescent="0.25">
      <c r="L21" s="8"/>
    </row>
    <row r="22" spans="1:12" s="19" customFormat="1" x14ac:dyDescent="0.25">
      <c r="L22" s="20"/>
    </row>
    <row r="23" spans="1:12" s="19" customFormat="1" x14ac:dyDescent="0.25">
      <c r="L23" s="20"/>
    </row>
    <row r="24" spans="1:12" s="19" customFormat="1" x14ac:dyDescent="0.25">
      <c r="L24" s="20"/>
    </row>
    <row r="25" spans="1:12" x14ac:dyDescent="0.25">
      <c r="A25" s="18"/>
      <c r="L25" s="8"/>
    </row>
    <row r="26" spans="1:12" x14ac:dyDescent="0.25">
      <c r="L26" s="8"/>
    </row>
    <row r="27" spans="1:12" x14ac:dyDescent="0.25">
      <c r="L27" s="8"/>
    </row>
    <row r="28" spans="1:12" x14ac:dyDescent="0.25">
      <c r="L28" s="8"/>
    </row>
    <row r="29" spans="1:12" x14ac:dyDescent="0.25">
      <c r="A29" s="14"/>
      <c r="L29" s="8"/>
    </row>
  </sheetData>
  <autoFilter ref="A2:L12" xr:uid="{C3168BA3-E2D9-4836-B57C-9E4F56870A5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15B3FCEBFC6244B81634EC0E64D8A80" ma:contentTypeVersion="18" ma:contentTypeDescription="Loo uus dokument" ma:contentTypeScope="" ma:versionID="5d8a07dc864c4c23feca8830f23255c2">
  <xsd:schema xmlns:xsd="http://www.w3.org/2001/XMLSchema" xmlns:xs="http://www.w3.org/2001/XMLSchema" xmlns:p="http://schemas.microsoft.com/office/2006/metadata/properties" xmlns:ns1="http://schemas.microsoft.com/sharepoint/v3" xmlns:ns2="d24211fe-2fdd-435b-b1e2-09bc66f8113b" xmlns:ns3="92c4f0f7-6723-422c-bd2b-2682e8f5fd57" targetNamespace="http://schemas.microsoft.com/office/2006/metadata/properties" ma:root="true" ma:fieldsID="420514f3156f7e48bcbe63b77060d907" ns1:_="" ns2:_="" ns3:_="">
    <xsd:import namespace="http://schemas.microsoft.com/sharepoint/v3"/>
    <xsd:import namespace="d24211fe-2fdd-435b-b1e2-09bc66f8113b"/>
    <xsd:import namespace="92c4f0f7-6723-422c-bd2b-2682e8f5fd5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1:_ip_UnifiedCompliancePolicyProperties" minOccurs="0"/>
                <xsd:element ref="ns1:_ip_UnifiedCompliancePolicyUIAction"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Ühtse nõuetele vastavuse poliitika atribuudid" ma:hidden="true" ma:internalName="_ip_UnifiedCompliancePolicyProperties">
      <xsd:simpleType>
        <xsd:restriction base="dms:Note"/>
      </xsd:simpleType>
    </xsd:element>
    <xsd:element name="_ip_UnifiedCompliancePolicyUIAction" ma:index="21" nillable="true" ma:displayName="Ühtse nõuetele vastavuse poliitika kasutajaliidesetoim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4211fe-2fdd-435b-b1e2-09bc66f811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2" nillable="true" ma:displayName="Location" ma:internalName="MediaServiceLocation" ma:readOnly="true">
      <xsd:simpleType>
        <xsd:restriction base="dms:Text"/>
      </xsd:simpleType>
    </xsd:element>
    <xsd:element name="lcf76f155ced4ddcb4097134ff3c332f" ma:index="24" nillable="true" ma:taxonomy="true" ma:internalName="lcf76f155ced4ddcb4097134ff3c332f" ma:taxonomyFieldName="MediaServiceImageTags" ma:displayName="Pildisildid" ma:readOnly="false" ma:fieldId="{5cf76f15-5ced-4ddc-b409-7134ff3c332f}" ma:taxonomyMulti="true" ma:sspId="d0dfdd9a-08aa-49ba-8b8c-1f0b5c74ee1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2c4f0f7-6723-422c-bd2b-2682e8f5fd57" elementFormDefault="qualified">
    <xsd:import namespace="http://schemas.microsoft.com/office/2006/documentManagement/types"/>
    <xsd:import namespace="http://schemas.microsoft.com/office/infopath/2007/PartnerControls"/>
    <xsd:element name="SharedWithUsers" ma:index="16"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Ühiskasutusse andmise üksikasjad" ma:internalName="SharedWithDetails" ma:readOnly="true">
      <xsd:simpleType>
        <xsd:restriction base="dms:Note">
          <xsd:maxLength value="255"/>
        </xsd:restriction>
      </xsd:simpleType>
    </xsd:element>
    <xsd:element name="TaxCatchAll" ma:index="25" nillable="true" ma:displayName="Taxonomy Catch All Column" ma:hidden="true" ma:list="{55ecd354-f1a7-48b7-b2aa-3b1218702959}" ma:internalName="TaxCatchAll" ma:showField="CatchAllData" ma:web="92c4f0f7-6723-422c-bd2b-2682e8f5fd5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380989-AADA-43A0-839B-BA1D4E6F563E}">
  <ds:schemaRefs>
    <ds:schemaRef ds:uri="http://schemas.microsoft.com/sharepoint/v3/contenttype/forms"/>
  </ds:schemaRefs>
</ds:datastoreItem>
</file>

<file path=customXml/itemProps2.xml><?xml version="1.0" encoding="utf-8"?>
<ds:datastoreItem xmlns:ds="http://schemas.openxmlformats.org/officeDocument/2006/customXml" ds:itemID="{EC403E00-8382-4A7D-943C-B093F87F9C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24211fe-2fdd-435b-b1e2-09bc66f8113b"/>
    <ds:schemaRef ds:uri="92c4f0f7-6723-422c-bd2b-2682e8f5fd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Koond</vt:lpstr>
      <vt:lpstr>Arendusprojektid</vt:lpstr>
      <vt:lpstr>upTIS 2023</vt:lpstr>
      <vt:lpstr>TIS 2023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Jaarika Järviste</dc:creator>
  <cp:keywords/>
  <dc:description/>
  <cp:lastModifiedBy>Kirsika Nahkur</cp:lastModifiedBy>
  <cp:revision/>
  <cp:lastPrinted>2023-08-02T13:32:01Z</cp:lastPrinted>
  <dcterms:created xsi:type="dcterms:W3CDTF">2015-06-05T18:17:20Z</dcterms:created>
  <dcterms:modified xsi:type="dcterms:W3CDTF">2023-11-27T14:15:59Z</dcterms:modified>
  <cp:category/>
  <cp:contentStatus/>
</cp:coreProperties>
</file>